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45" windowWidth="19020" windowHeight="12870"/>
  </bookViews>
  <sheets>
    <sheet name="inwestycje" sheetId="1" r:id="rId1"/>
  </sheets>
  <definedNames>
    <definedName name="_xlnm.Print_Area" localSheetId="0">inwestycje!$A$1:$J$133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D42" i="1"/>
  <c r="F49" l="1"/>
  <c r="F47"/>
  <c r="F74"/>
  <c r="E123" l="1"/>
  <c r="E122" s="1"/>
  <c r="I122"/>
  <c r="H122"/>
  <c r="G122"/>
  <c r="F122"/>
  <c r="D122"/>
  <c r="E80" l="1"/>
  <c r="E79"/>
  <c r="E78"/>
  <c r="I77"/>
  <c r="H77"/>
  <c r="G77"/>
  <c r="F77"/>
  <c r="D77"/>
  <c r="E77" l="1"/>
  <c r="D70"/>
  <c r="D64"/>
  <c r="D62"/>
  <c r="D61"/>
  <c r="D56"/>
  <c r="D60"/>
  <c r="D53"/>
  <c r="D55"/>
  <c r="D52"/>
  <c r="D66"/>
  <c r="D69"/>
  <c r="D67"/>
  <c r="D68"/>
  <c r="D51" l="1"/>
  <c r="D45"/>
  <c r="F106" l="1"/>
  <c r="G106"/>
  <c r="H106"/>
  <c r="I106"/>
  <c r="D106"/>
  <c r="E108"/>
  <c r="I105" l="1"/>
  <c r="F105"/>
  <c r="G105"/>
  <c r="H105"/>
  <c r="D105"/>
  <c r="E107"/>
  <c r="E106" s="1"/>
  <c r="E105" s="1"/>
  <c r="F98" l="1"/>
  <c r="E49" l="1"/>
  <c r="D49" l="1"/>
  <c r="D48" l="1"/>
  <c r="D63" l="1"/>
  <c r="D59"/>
  <c r="D58" l="1"/>
  <c r="E55"/>
  <c r="E56"/>
  <c r="D54"/>
  <c r="D65" l="1"/>
  <c r="D110" l="1"/>
  <c r="F110"/>
  <c r="G110"/>
  <c r="H110"/>
  <c r="I110"/>
  <c r="E112"/>
  <c r="G43" l="1"/>
  <c r="H43"/>
  <c r="I43"/>
  <c r="E76"/>
  <c r="D72" l="1"/>
  <c r="D44"/>
  <c r="E72"/>
  <c r="D46" l="1"/>
  <c r="D29" l="1"/>
  <c r="H84" l="1"/>
  <c r="D43" l="1"/>
  <c r="E42" l="1"/>
  <c r="E41"/>
  <c r="D100"/>
  <c r="E73" l="1"/>
  <c r="E74"/>
  <c r="F75"/>
  <c r="F43" s="1"/>
  <c r="E75" l="1"/>
  <c r="E71"/>
  <c r="E70"/>
  <c r="E69"/>
  <c r="E68"/>
  <c r="E67"/>
  <c r="E66"/>
  <c r="E65"/>
  <c r="E64"/>
  <c r="E63"/>
  <c r="E62"/>
  <c r="E61"/>
  <c r="E60"/>
  <c r="E59"/>
  <c r="E58"/>
  <c r="E57"/>
  <c r="E54"/>
  <c r="E53"/>
  <c r="E52"/>
  <c r="E51"/>
  <c r="E50"/>
  <c r="E48"/>
  <c r="E47"/>
  <c r="E46"/>
  <c r="E45"/>
  <c r="E44"/>
  <c r="E43" l="1"/>
  <c r="E20"/>
  <c r="D21"/>
  <c r="D17" s="1"/>
  <c r="E21"/>
  <c r="E130"/>
  <c r="E129"/>
  <c r="E127"/>
  <c r="E131"/>
  <c r="F116"/>
  <c r="E116" s="1"/>
  <c r="E115" s="1"/>
  <c r="E24"/>
  <c r="F99"/>
  <c r="E118"/>
  <c r="E117" s="1"/>
  <c r="I117"/>
  <c r="H117"/>
  <c r="G117"/>
  <c r="F117"/>
  <c r="D117"/>
  <c r="I115"/>
  <c r="H115"/>
  <c r="G115"/>
  <c r="D115"/>
  <c r="E114"/>
  <c r="D114"/>
  <c r="I113"/>
  <c r="H113"/>
  <c r="G113"/>
  <c r="F113"/>
  <c r="E111"/>
  <c r="E110" s="1"/>
  <c r="E102"/>
  <c r="E101" s="1"/>
  <c r="I101"/>
  <c r="H101"/>
  <c r="G101"/>
  <c r="F101"/>
  <c r="D101"/>
  <c r="D113" l="1"/>
  <c r="D109" s="1"/>
  <c r="F115"/>
  <c r="F109" s="1"/>
  <c r="G109"/>
  <c r="H109"/>
  <c r="I109"/>
  <c r="E113"/>
  <c r="E109" s="1"/>
  <c r="E91"/>
  <c r="E99"/>
  <c r="E97"/>
  <c r="E27"/>
  <c r="E30"/>
  <c r="E35"/>
  <c r="E87"/>
  <c r="E86" s="1"/>
  <c r="I87"/>
  <c r="I86" s="1"/>
  <c r="H87"/>
  <c r="H86" s="1"/>
  <c r="G87"/>
  <c r="G86" s="1"/>
  <c r="F87"/>
  <c r="F86" s="1"/>
  <c r="D87"/>
  <c r="D86" s="1"/>
  <c r="F96" l="1"/>
  <c r="G96"/>
  <c r="H96"/>
  <c r="I96"/>
  <c r="E128"/>
  <c r="F120"/>
  <c r="F119" s="1"/>
  <c r="G120"/>
  <c r="G119" s="1"/>
  <c r="H120"/>
  <c r="H119" s="1"/>
  <c r="I120"/>
  <c r="I119" s="1"/>
  <c r="E121" l="1"/>
  <c r="D125" l="1"/>
  <c r="F17" l="1"/>
  <c r="G17"/>
  <c r="H17"/>
  <c r="I17"/>
  <c r="D96"/>
  <c r="F125"/>
  <c r="F124" s="1"/>
  <c r="G125"/>
  <c r="G124" s="1"/>
  <c r="H125"/>
  <c r="H124" s="1"/>
  <c r="I125"/>
  <c r="I124" s="1"/>
  <c r="D124"/>
  <c r="E28"/>
  <c r="E126"/>
  <c r="E23"/>
  <c r="E25"/>
  <c r="E22"/>
  <c r="E19"/>
  <c r="E132"/>
  <c r="E120"/>
  <c r="E119" s="1"/>
  <c r="E103"/>
  <c r="F103"/>
  <c r="G103"/>
  <c r="H103"/>
  <c r="I103"/>
  <c r="D103"/>
  <c r="E98"/>
  <c r="E100"/>
  <c r="E95"/>
  <c r="E94" s="1"/>
  <c r="F94"/>
  <c r="G94"/>
  <c r="H94"/>
  <c r="H93" s="1"/>
  <c r="I94"/>
  <c r="D94"/>
  <c r="E92"/>
  <c r="F90"/>
  <c r="F89" s="1"/>
  <c r="G90"/>
  <c r="G89" s="1"/>
  <c r="H90"/>
  <c r="H89" s="1"/>
  <c r="I90"/>
  <c r="I89" s="1"/>
  <c r="D90"/>
  <c r="D89" s="1"/>
  <c r="E84"/>
  <c r="E85"/>
  <c r="F83"/>
  <c r="G83"/>
  <c r="H83"/>
  <c r="I83"/>
  <c r="E82"/>
  <c r="E81" s="1"/>
  <c r="F81"/>
  <c r="G81"/>
  <c r="H81"/>
  <c r="I81"/>
  <c r="E40"/>
  <c r="F40"/>
  <c r="G40"/>
  <c r="H40"/>
  <c r="H39" s="1"/>
  <c r="I40"/>
  <c r="D81"/>
  <c r="E38"/>
  <c r="E37" s="1"/>
  <c r="E36" s="1"/>
  <c r="F37"/>
  <c r="F36" s="1"/>
  <c r="G37"/>
  <c r="G36" s="1"/>
  <c r="H37"/>
  <c r="H36" s="1"/>
  <c r="I37"/>
  <c r="I36" s="1"/>
  <c r="D37"/>
  <c r="D36" s="1"/>
  <c r="E33"/>
  <c r="E32" s="1"/>
  <c r="F32"/>
  <c r="G32"/>
  <c r="H32"/>
  <c r="I32"/>
  <c r="D32"/>
  <c r="E34"/>
  <c r="F34"/>
  <c r="G34"/>
  <c r="H34"/>
  <c r="I34"/>
  <c r="D34"/>
  <c r="E29"/>
  <c r="G26"/>
  <c r="F26"/>
  <c r="H26"/>
  <c r="I26"/>
  <c r="D26"/>
  <c r="E18"/>
  <c r="E31"/>
  <c r="D83"/>
  <c r="D40"/>
  <c r="G39" l="1"/>
  <c r="D39"/>
  <c r="I39"/>
  <c r="F39"/>
  <c r="I93"/>
  <c r="F93"/>
  <c r="D93"/>
  <c r="G93"/>
  <c r="D16"/>
  <c r="I16"/>
  <c r="F16"/>
  <c r="G16"/>
  <c r="G133" s="1"/>
  <c r="H16"/>
  <c r="E26"/>
  <c r="E17"/>
  <c r="D120"/>
  <c r="D119" s="1"/>
  <c r="E96"/>
  <c r="E93" s="1"/>
  <c r="E125"/>
  <c r="E124" s="1"/>
  <c r="E83"/>
  <c r="E39" s="1"/>
  <c r="E90"/>
  <c r="E89" s="1"/>
  <c r="F133" l="1"/>
  <c r="I133"/>
  <c r="H133"/>
  <c r="D133"/>
  <c r="E16"/>
  <c r="E133" s="1"/>
</calcChain>
</file>

<file path=xl/sharedStrings.xml><?xml version="1.0" encoding="utf-8"?>
<sst xmlns="http://schemas.openxmlformats.org/spreadsheetml/2006/main" count="202" uniqueCount="173">
  <si>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</si>
  <si>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</si>
  <si>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</si>
  <si>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</si>
  <si>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</si>
  <si>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</si>
  <si>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</si>
  <si>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</si>
  <si>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</si>
  <si>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</si>
  <si>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</si>
  <si>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</si>
  <si>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</si>
  <si>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</si>
  <si>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</si>
  <si>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</si>
  <si>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</si>
  <si>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</si>
  <si>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</si>
  <si>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</si>
  <si>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</si>
  <si>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</si>
  <si>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</si>
  <si>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</si>
  <si>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</si>
  <si>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</si>
  <si>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</si>
  <si>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</si>
  <si>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</si>
  <si>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</si>
  <si>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</si>
  <si>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</si>
  <si>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</si>
  <si>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</si>
  <si>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</si>
  <si>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</si>
  <si>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</si>
  <si>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</si>
  <si>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</si>
  <si>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</si>
  <si>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</si>
  <si>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</si>
  <si>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</si>
  <si>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</si>
  <si>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</si>
  <si>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</si>
  <si>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</si>
  <si>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</si>
  <si>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</si>
  <si>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</si>
  <si>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</si>
  <si>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</si>
  <si>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</si>
  <si>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</si>
  <si>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</si>
  <si>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</si>
  <si>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</si>
  <si>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</si>
  <si>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</si>
  <si>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</si>
  <si>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</si>
  <si>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</si>
  <si>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</si>
  <si>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</si>
  <si>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</si>
  <si>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</si>
  <si>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</si>
  <si>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</si>
  <si>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</si>
  <si>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</si>
  <si>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</si>
  <si>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</si>
  <si>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</si>
  <si>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</si>
  <si>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</si>
  <si>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</si>
  <si>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</si>
  <si>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</si>
  <si>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</si>
  <si>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</si>
  <si>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</si>
  <si>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</si>
  <si>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</si>
  <si>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</si>
  <si>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</si>
  <si>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</si>
  <si>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</si>
  <si>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</si>
  <si>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</si>
  <si>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</si>
  <si>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</si>
  <si>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Zadania inwestycyjne (roczne i wieloletnie) przewidziane do realizacji w 2013 roku</t>
  </si>
  <si>
    <t>Nazwa zadania inwestycyjnego 
realizowanego w 2013 roku</t>
  </si>
  <si>
    <t>Planowane wydatki na inwestycje wieloletnie przewidziane do realizacji 
w 2013 roku</t>
  </si>
  <si>
    <t>Rok 
budżetowy 2013
(6 do 9)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</si>
  <si>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</si>
  <si>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</si>
  <si>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</si>
  <si>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</si>
  <si>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</si>
  <si>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</si>
  <si>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</si>
  <si>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</si>
  <si>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</si>
  <si>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</si>
  <si>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</si>
  <si>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</si>
  <si>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</si>
  <si>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</si>
  <si>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</si>
  <si>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</si>
  <si>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</si>
  <si>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</si>
  <si>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</si>
  <si>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</si>
  <si>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</si>
  <si>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</si>
  <si>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</si>
  <si>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</si>
  <si>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</si>
  <si>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</si>
  <si>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</si>
  <si>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</si>
  <si>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</si>
  <si>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</si>
  <si>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</si>
  <si>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</si>
  <si>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</si>
  <si>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</si>
  <si>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</si>
  <si>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</si>
  <si>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Ocieplenie części budynku biurowego przejętego po Wojewódzkim Zespole Medycyny Przemysłowej w Olsztynie</t>
  </si>
  <si>
    <t>Opracowanie dokumentacji technicznej dla zadania "Stabilizacja jeziora Oświn, gm. Węgorzewo, woj. warmińsko-mazurskie"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</si>
  <si>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</si>
  <si>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</si>
  <si>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</si>
  <si>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</si>
  <si>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</si>
  <si>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</si>
  <si>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</si>
  <si>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</si>
  <si>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</si>
  <si>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</si>
  <si>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</si>
  <si>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</si>
  <si>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</si>
  <si>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</si>
  <si>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</si>
  <si>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</si>
  <si>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</si>
  <si>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</si>
  <si>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</si>
  <si>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Docieplenie budynku Rejonowego Oddziału ZMiUW w Olsztynie przy ulicy Kościuszki 37A, wraz z wykonaniem elewacji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</si>
  <si>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</si>
  <si>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</si>
  <si>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</si>
  <si>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</si>
  <si>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</si>
  <si>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</si>
  <si>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Przebudowa budynku administracyjnego, przy ul. Głowackiego 17 w Olsztynie na potrzeby Urzędu Marszałkowskiego Województwa Warmińsko-Mazurskiego</t>
  </si>
  <si>
    <t>60014</t>
  </si>
  <si>
    <t>Drogi publiczne powiatowe</t>
  </si>
  <si>
    <t>Przebudowa przepustu drogowego w msc. Koczarki w ciągu drogi powiatowej nr 1737 N</t>
  </si>
  <si>
    <t>Przebudowa drogi w msc. Suchawa</t>
  </si>
  <si>
    <t>Przebudowa przepustu na drodze powiatowej nr 1705 N w msc. Warnikajmy</t>
  </si>
  <si>
    <t>85395</t>
  </si>
  <si>
    <t>Program Operacyjny Kapitał Ludzki</t>
  </si>
  <si>
    <t>Warmińsko-Mazurskiego</t>
  </si>
  <si>
    <t>Zarządu Województwa</t>
  </si>
  <si>
    <t>Adaptacja budynku warsztatowego przy ul. Przemysłowej Nr 3 w Biskupcu na siedzibę Obwodu Dróg Wojewódzkich w Biskupcu</t>
  </si>
  <si>
    <t>Załącznik Nr 4</t>
  </si>
  <si>
    <t>do Uchwały Nr 40/544/13/IV</t>
  </si>
  <si>
    <t>z dnia 13 sierpnia 2013 r.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</si>
</sst>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39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49" fontId="4" fillId="5" borderId="2" xfId="0" applyNumberFormat="1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vertical="top"/>
    </xf>
    <xf numFmtId="49" fontId="4" fillId="5" borderId="5" xfId="0" applyNumberFormat="1" applyFont="1" applyFill="1" applyBorder="1" applyAlignment="1">
      <alignment vertical="top" wrapText="1"/>
    </xf>
    <xf numFmtId="3" fontId="4" fillId="5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/>
    <xf numFmtId="49" fontId="4" fillId="5" borderId="6" xfId="0" applyNumberFormat="1" applyFont="1" applyFill="1" applyBorder="1" applyAlignment="1">
      <alignment vertical="top" wrapText="1"/>
    </xf>
    <xf numFmtId="3" fontId="4" fillId="5" borderId="6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center" wrapText="1"/>
    </xf>
    <xf numFmtId="3" fontId="4" fillId="5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vertical="center" wrapText="1"/>
    </xf>
    <xf numFmtId="3" fontId="4" fillId="5" borderId="11" xfId="0" applyNumberFormat="1" applyFont="1" applyFill="1" applyBorder="1" applyAlignment="1">
      <alignment horizontal="right"/>
    </xf>
    <xf numFmtId="49" fontId="4" fillId="5" borderId="12" xfId="0" applyNumberFormat="1" applyFont="1" applyFill="1" applyBorder="1" applyAlignment="1">
      <alignment vertical="center" wrapText="1"/>
    </xf>
    <xf numFmtId="3" fontId="4" fillId="5" borderId="12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5" borderId="5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vertical="top" wrapText="1"/>
    </xf>
    <xf numFmtId="3" fontId="4" fillId="5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3" fontId="4" fillId="5" borderId="5" xfId="3" applyNumberFormat="1" applyFont="1" applyFill="1" applyBorder="1" applyAlignment="1">
      <alignment horizontal="right"/>
    </xf>
    <xf numFmtId="49" fontId="4" fillId="5" borderId="2" xfId="0" applyNumberFormat="1" applyFont="1" applyFill="1" applyBorder="1" applyAlignment="1">
      <alignment vertical="top" wrapText="1"/>
    </xf>
    <xf numFmtId="3" fontId="4" fillId="5" borderId="2" xfId="0" applyNumberFormat="1" applyFont="1" applyFill="1" applyBorder="1" applyAlignment="1">
      <alignment horizontal="right"/>
    </xf>
    <xf numFmtId="3" fontId="4" fillId="5" borderId="6" xfId="3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vertical="top"/>
    </xf>
    <xf numFmtId="0" fontId="4" fillId="5" borderId="5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top" wrapText="1"/>
    </xf>
    <xf numFmtId="0" fontId="4" fillId="5" borderId="13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center" wrapText="1"/>
    </xf>
    <xf numFmtId="0" fontId="4" fillId="5" borderId="14" xfId="3" applyFont="1" applyFill="1" applyBorder="1" applyAlignment="1">
      <alignment horizontal="left" vertical="top" wrapText="1"/>
    </xf>
    <xf numFmtId="3" fontId="5" fillId="5" borderId="6" xfId="3" applyNumberFormat="1" applyFont="1" applyFill="1" applyBorder="1" applyAlignment="1">
      <alignment horizontal="right"/>
    </xf>
    <xf numFmtId="0" fontId="4" fillId="5" borderId="15" xfId="3" applyFont="1" applyFill="1" applyBorder="1" applyAlignment="1">
      <alignment horizontal="left" vertical="top" wrapText="1"/>
    </xf>
    <xf numFmtId="3" fontId="4" fillId="5" borderId="11" xfId="3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vertical="center"/>
    </xf>
    <xf numFmtId="0" fontId="4" fillId="5" borderId="16" xfId="3" applyFont="1" applyFill="1" applyBorder="1" applyAlignment="1">
      <alignment horizontal="left" vertical="top" wrapText="1"/>
    </xf>
    <xf numFmtId="3" fontId="4" fillId="5" borderId="7" xfId="3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5" borderId="6" xfId="1" applyFont="1" applyFill="1" applyBorder="1" applyAlignment="1">
      <alignment horizontal="left" vertical="center" wrapText="1"/>
    </xf>
    <xf numFmtId="3" fontId="4" fillId="5" borderId="6" xfId="1" applyNumberFormat="1" applyFont="1" applyFill="1" applyBorder="1" applyAlignment="1">
      <alignment horizontal="right" wrapText="1"/>
    </xf>
    <xf numFmtId="0" fontId="4" fillId="5" borderId="4" xfId="1" applyFont="1" applyFill="1" applyBorder="1" applyAlignment="1">
      <alignment horizontal="left" vertical="center" wrapText="1"/>
    </xf>
    <xf numFmtId="3" fontId="4" fillId="5" borderId="4" xfId="1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 wrapText="1"/>
    </xf>
    <xf numFmtId="3" fontId="4" fillId="5" borderId="5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 wrapText="1"/>
    </xf>
    <xf numFmtId="3" fontId="4" fillId="5" borderId="7" xfId="0" applyNumberFormat="1" applyFont="1" applyFill="1" applyBorder="1" applyAlignment="1">
      <alignment horizontal="right" vertical="center"/>
    </xf>
    <xf numFmtId="49" fontId="4" fillId="0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right" vertical="center"/>
    </xf>
    <xf numFmtId="3" fontId="4" fillId="5" borderId="4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4" fillId="5" borderId="3" xfId="0" applyNumberFormat="1" applyFont="1" applyFill="1" applyBorder="1" applyAlignment="1">
      <alignment vertical="top"/>
    </xf>
    <xf numFmtId="49" fontId="4" fillId="5" borderId="4" xfId="0" applyNumberFormat="1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/>
    <xf numFmtId="3" fontId="6" fillId="2" borderId="0" xfId="0" applyNumberFormat="1" applyFont="1" applyFill="1"/>
    <xf numFmtId="0" fontId="4" fillId="2" borderId="0" xfId="0" applyFont="1" applyFill="1" applyBorder="1" applyAlignment="1">
      <alignment horizontal="right" vertical="top"/>
    </xf>
    <xf numFmtId="3" fontId="4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2"/>
  <sheetViews>
    <sheetView tabSelected="1" view="pageBreakPreview" zoomScaleNormal="100" zoomScaleSheetLayoutView="100" workbookViewId="0">
      <selection activeCell="L7" sqref="L7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>
      <c r="I1" s="1" t="s">
        <v>170</v>
      </c>
      <c r="J1" s="1"/>
    </row>
    <row r="2" spans="1:10">
      <c r="I2" s="3" t="s">
        <v>171</v>
      </c>
      <c r="J2" s="1"/>
    </row>
    <row r="3" spans="1:10">
      <c r="I3" s="3" t="s">
        <v>168</v>
      </c>
      <c r="J3" s="1"/>
    </row>
    <row r="4" spans="1:10">
      <c r="I4" s="3" t="s">
        <v>167</v>
      </c>
      <c r="J4" s="1"/>
    </row>
    <row r="5" spans="1:10">
      <c r="I5" s="3" t="s">
        <v>172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6" t="s">
        <v>91</v>
      </c>
      <c r="B9" s="6"/>
      <c r="C9" s="6"/>
      <c r="D9" s="6"/>
      <c r="E9" s="6"/>
      <c r="F9" s="6"/>
      <c r="G9" s="6"/>
      <c r="H9" s="6"/>
      <c r="I9" s="6"/>
      <c r="J9" s="6"/>
    </row>
    <row r="11" spans="1:10">
      <c r="J11" s="7" t="s">
        <v>69</v>
      </c>
    </row>
    <row r="12" spans="1:10" s="10" customFormat="1" ht="18.75" customHeight="1">
      <c r="A12" s="8" t="s">
        <v>70</v>
      </c>
      <c r="B12" s="8" t="s">
        <v>0</v>
      </c>
      <c r="C12" s="8" t="s">
        <v>92</v>
      </c>
      <c r="D12" s="8" t="s">
        <v>93</v>
      </c>
      <c r="E12" s="9" t="s">
        <v>1</v>
      </c>
      <c r="F12" s="9"/>
      <c r="G12" s="9"/>
      <c r="H12" s="9"/>
      <c r="I12" s="9"/>
      <c r="J12" s="9" t="s">
        <v>4</v>
      </c>
    </row>
    <row r="13" spans="1:10" s="10" customFormat="1" ht="18.75" customHeight="1">
      <c r="A13" s="11"/>
      <c r="B13" s="11"/>
      <c r="C13" s="11"/>
      <c r="D13" s="11"/>
      <c r="E13" s="11" t="s">
        <v>94</v>
      </c>
      <c r="F13" s="9" t="s">
        <v>2</v>
      </c>
      <c r="G13" s="9"/>
      <c r="H13" s="9"/>
      <c r="I13" s="9"/>
      <c r="J13" s="9"/>
    </row>
    <row r="14" spans="1:10" s="10" customFormat="1" ht="60" customHeight="1">
      <c r="A14" s="12"/>
      <c r="B14" s="12"/>
      <c r="C14" s="12"/>
      <c r="D14" s="12"/>
      <c r="E14" s="12"/>
      <c r="F14" s="13" t="s">
        <v>8</v>
      </c>
      <c r="G14" s="13" t="s">
        <v>11</v>
      </c>
      <c r="H14" s="13" t="s">
        <v>3</v>
      </c>
      <c r="I14" s="13" t="s">
        <v>7</v>
      </c>
      <c r="J14" s="9"/>
    </row>
    <row r="15" spans="1:10" s="10" customFormat="1" ht="6.7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</row>
    <row r="16" spans="1:10" s="19" customFormat="1" ht="14.25" customHeight="1">
      <c r="A16" s="15" t="s">
        <v>5</v>
      </c>
      <c r="B16" s="15"/>
      <c r="C16" s="16" t="s">
        <v>9</v>
      </c>
      <c r="D16" s="17">
        <f t="shared" ref="D16:I16" si="0">SUM(D17+D26+D34+D32)</f>
        <v>74188406</v>
      </c>
      <c r="E16" s="17">
        <f t="shared" si="0"/>
        <v>1291000</v>
      </c>
      <c r="F16" s="17">
        <f t="shared" si="0"/>
        <v>474500</v>
      </c>
      <c r="G16" s="17">
        <f t="shared" si="0"/>
        <v>800000</v>
      </c>
      <c r="H16" s="17">
        <f t="shared" si="0"/>
        <v>16500</v>
      </c>
      <c r="I16" s="17">
        <f t="shared" si="0"/>
        <v>0</v>
      </c>
      <c r="J16" s="18"/>
    </row>
    <row r="17" spans="1:10" s="25" customFormat="1" ht="15.75" customHeight="1">
      <c r="A17" s="20"/>
      <c r="B17" s="21" t="s">
        <v>10</v>
      </c>
      <c r="C17" s="22" t="s">
        <v>51</v>
      </c>
      <c r="D17" s="23">
        <f t="shared" ref="D17:I17" si="1">SUM(D18:D25)</f>
        <v>0</v>
      </c>
      <c r="E17" s="23">
        <f t="shared" si="1"/>
        <v>454500</v>
      </c>
      <c r="F17" s="23">
        <f t="shared" si="1"/>
        <v>454500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/>
    </row>
    <row r="18" spans="1:10" s="32" customFormat="1" ht="39" customHeight="1">
      <c r="A18" s="26"/>
      <c r="B18" s="27"/>
      <c r="C18" s="28" t="s">
        <v>118</v>
      </c>
      <c r="D18" s="29">
        <v>0</v>
      </c>
      <c r="E18" s="29">
        <f t="shared" ref="E18:E25" si="2">SUM(F18:I18)</f>
        <v>12000</v>
      </c>
      <c r="F18" s="30">
        <v>12000</v>
      </c>
      <c r="G18" s="29">
        <v>0</v>
      </c>
      <c r="H18" s="29">
        <v>0</v>
      </c>
      <c r="I18" s="29">
        <v>0</v>
      </c>
      <c r="J18" s="31" t="s">
        <v>117</v>
      </c>
    </row>
    <row r="19" spans="1:10" s="32" customFormat="1" ht="27.75" customHeight="1">
      <c r="A19" s="26"/>
      <c r="B19" s="27"/>
      <c r="C19" s="33" t="s">
        <v>152</v>
      </c>
      <c r="D19" s="34">
        <v>0</v>
      </c>
      <c r="E19" s="34">
        <f t="shared" si="2"/>
        <v>40000</v>
      </c>
      <c r="F19" s="34">
        <v>40000</v>
      </c>
      <c r="G19" s="34">
        <v>0</v>
      </c>
      <c r="H19" s="34">
        <v>0</v>
      </c>
      <c r="I19" s="34">
        <v>0</v>
      </c>
      <c r="J19" s="35"/>
    </row>
    <row r="20" spans="1:10" s="32" customFormat="1" ht="27.75" customHeight="1">
      <c r="A20" s="26"/>
      <c r="B20" s="27"/>
      <c r="C20" s="36" t="s">
        <v>132</v>
      </c>
      <c r="D20" s="34">
        <v>0</v>
      </c>
      <c r="E20" s="34">
        <f t="shared" ref="E20" si="3">SUM(F20:I20)</f>
        <v>200000</v>
      </c>
      <c r="F20" s="37">
        <v>200000</v>
      </c>
      <c r="G20" s="34">
        <v>0</v>
      </c>
      <c r="H20" s="34">
        <v>0</v>
      </c>
      <c r="I20" s="34">
        <v>0</v>
      </c>
      <c r="J20" s="35"/>
    </row>
    <row r="21" spans="1:10" s="32" customFormat="1" ht="39.75" customHeight="1">
      <c r="A21" s="26"/>
      <c r="B21" s="27"/>
      <c r="C21" s="38" t="s">
        <v>119</v>
      </c>
      <c r="D21" s="39">
        <f>7831390-7440251-391139</f>
        <v>0</v>
      </c>
      <c r="E21" s="39">
        <f t="shared" ref="E21" si="4">SUM(F21:I21)</f>
        <v>35000</v>
      </c>
      <c r="F21" s="40">
        <v>35000</v>
      </c>
      <c r="G21" s="39">
        <v>0</v>
      </c>
      <c r="H21" s="39">
        <v>0</v>
      </c>
      <c r="I21" s="39">
        <v>0</v>
      </c>
      <c r="J21" s="41"/>
    </row>
    <row r="22" spans="1:10" s="32" customFormat="1" ht="27.75" customHeight="1">
      <c r="A22" s="26"/>
      <c r="B22" s="27"/>
      <c r="C22" s="42" t="s">
        <v>121</v>
      </c>
      <c r="D22" s="43">
        <v>0</v>
      </c>
      <c r="E22" s="43">
        <f t="shared" si="2"/>
        <v>32000</v>
      </c>
      <c r="F22" s="43">
        <v>32000</v>
      </c>
      <c r="G22" s="43">
        <v>0</v>
      </c>
      <c r="H22" s="43">
        <v>0</v>
      </c>
      <c r="I22" s="43">
        <v>0</v>
      </c>
      <c r="J22" s="35" t="s">
        <v>120</v>
      </c>
    </row>
    <row r="23" spans="1:10" s="32" customFormat="1" ht="27" customHeight="1">
      <c r="A23" s="26"/>
      <c r="B23" s="27"/>
      <c r="C23" s="33" t="s">
        <v>122</v>
      </c>
      <c r="D23" s="34">
        <v>0</v>
      </c>
      <c r="E23" s="34">
        <f t="shared" si="2"/>
        <v>73500</v>
      </c>
      <c r="F23" s="34">
        <v>73500</v>
      </c>
      <c r="G23" s="34">
        <v>0</v>
      </c>
      <c r="H23" s="34">
        <v>0</v>
      </c>
      <c r="I23" s="34">
        <v>0</v>
      </c>
      <c r="J23" s="35"/>
    </row>
    <row r="24" spans="1:10" s="32" customFormat="1" ht="42" customHeight="1">
      <c r="A24" s="26"/>
      <c r="B24" s="27"/>
      <c r="C24" s="44" t="s">
        <v>123</v>
      </c>
      <c r="D24" s="45">
        <v>0</v>
      </c>
      <c r="E24" s="34">
        <f t="shared" si="2"/>
        <v>37000</v>
      </c>
      <c r="F24" s="45">
        <v>37000</v>
      </c>
      <c r="G24" s="45">
        <v>0</v>
      </c>
      <c r="H24" s="45">
        <v>0</v>
      </c>
      <c r="I24" s="45">
        <v>0</v>
      </c>
      <c r="J24" s="35"/>
    </row>
    <row r="25" spans="1:10" s="32" customFormat="1" ht="26.25" customHeight="1">
      <c r="A25" s="26"/>
      <c r="B25" s="27"/>
      <c r="C25" s="46" t="s">
        <v>134</v>
      </c>
      <c r="D25" s="39">
        <v>0</v>
      </c>
      <c r="E25" s="39">
        <f t="shared" si="2"/>
        <v>25000</v>
      </c>
      <c r="F25" s="39">
        <v>25000</v>
      </c>
      <c r="G25" s="39">
        <v>0</v>
      </c>
      <c r="H25" s="39">
        <v>0</v>
      </c>
      <c r="I25" s="39">
        <v>0</v>
      </c>
      <c r="J25" s="41"/>
    </row>
    <row r="26" spans="1:10" s="52" customFormat="1" ht="15.75" customHeight="1">
      <c r="A26" s="47"/>
      <c r="B26" s="48" t="s">
        <v>6</v>
      </c>
      <c r="C26" s="49" t="s">
        <v>52</v>
      </c>
      <c r="D26" s="50">
        <f t="shared" ref="D26:I26" si="5">SUM(D27:D31)</f>
        <v>73995406</v>
      </c>
      <c r="E26" s="50">
        <f t="shared" si="5"/>
        <v>816500</v>
      </c>
      <c r="F26" s="50">
        <f t="shared" si="5"/>
        <v>0</v>
      </c>
      <c r="G26" s="50">
        <f t="shared" si="5"/>
        <v>800000</v>
      </c>
      <c r="H26" s="50">
        <f t="shared" si="5"/>
        <v>16500</v>
      </c>
      <c r="I26" s="50">
        <f t="shared" si="5"/>
        <v>0</v>
      </c>
      <c r="J26" s="51"/>
    </row>
    <row r="27" spans="1:10" s="52" customFormat="1" ht="18.75" customHeight="1">
      <c r="A27" s="47"/>
      <c r="B27" s="20"/>
      <c r="C27" s="53" t="s">
        <v>12</v>
      </c>
      <c r="D27" s="29">
        <v>0</v>
      </c>
      <c r="E27" s="29">
        <f>SUM(F27:I27)</f>
        <v>416500</v>
      </c>
      <c r="F27" s="29">
        <v>0</v>
      </c>
      <c r="G27" s="29">
        <v>400000</v>
      </c>
      <c r="H27" s="29">
        <v>16500</v>
      </c>
      <c r="I27" s="29">
        <v>0</v>
      </c>
      <c r="J27" s="31" t="s">
        <v>117</v>
      </c>
    </row>
    <row r="28" spans="1:10" s="54" customFormat="1" ht="20.25" customHeight="1">
      <c r="A28" s="26"/>
      <c r="B28" s="26"/>
      <c r="C28" s="38" t="s">
        <v>13</v>
      </c>
      <c r="D28" s="39">
        <v>18751000</v>
      </c>
      <c r="E28" s="39">
        <f>SUM(F28:I28)</f>
        <v>0</v>
      </c>
      <c r="F28" s="39">
        <v>0</v>
      </c>
      <c r="G28" s="39">
        <v>0</v>
      </c>
      <c r="H28" s="39">
        <v>0</v>
      </c>
      <c r="I28" s="39">
        <v>0</v>
      </c>
      <c r="J28" s="41"/>
    </row>
    <row r="29" spans="1:10" ht="27" customHeight="1">
      <c r="A29" s="47"/>
      <c r="B29" s="55"/>
      <c r="C29" s="56" t="s">
        <v>72</v>
      </c>
      <c r="D29" s="43">
        <f>32000000-315215-53861+478482</f>
        <v>32109406</v>
      </c>
      <c r="E29" s="43">
        <f>SUM(F29:I29)</f>
        <v>0</v>
      </c>
      <c r="F29" s="43">
        <v>0</v>
      </c>
      <c r="G29" s="43">
        <v>0</v>
      </c>
      <c r="H29" s="43">
        <v>0</v>
      </c>
      <c r="I29" s="43">
        <v>0</v>
      </c>
      <c r="J29" s="35" t="s">
        <v>120</v>
      </c>
    </row>
    <row r="30" spans="1:10" s="52" customFormat="1" ht="18.75" customHeight="1">
      <c r="A30" s="47"/>
      <c r="B30" s="47"/>
      <c r="C30" s="57" t="s">
        <v>12</v>
      </c>
      <c r="D30" s="34">
        <v>0</v>
      </c>
      <c r="E30" s="34">
        <f>SUM(F30:I30)</f>
        <v>400000</v>
      </c>
      <c r="F30" s="34">
        <v>0</v>
      </c>
      <c r="G30" s="34">
        <v>400000</v>
      </c>
      <c r="H30" s="34">
        <v>0</v>
      </c>
      <c r="I30" s="34">
        <v>0</v>
      </c>
      <c r="J30" s="35"/>
    </row>
    <row r="31" spans="1:10" s="54" customFormat="1" ht="18.75" customHeight="1">
      <c r="A31" s="58"/>
      <c r="B31" s="59"/>
      <c r="C31" s="38" t="s">
        <v>13</v>
      </c>
      <c r="D31" s="39">
        <v>23135000</v>
      </c>
      <c r="E31" s="39">
        <f>SUM(F31:I31)</f>
        <v>0</v>
      </c>
      <c r="F31" s="39">
        <v>0</v>
      </c>
      <c r="G31" s="39">
        <v>0</v>
      </c>
      <c r="H31" s="39">
        <v>0</v>
      </c>
      <c r="I31" s="39">
        <v>0</v>
      </c>
      <c r="J31" s="41"/>
    </row>
    <row r="32" spans="1:10" s="52" customFormat="1" ht="15.75" customHeight="1">
      <c r="A32" s="60"/>
      <c r="B32" s="61" t="s">
        <v>16</v>
      </c>
      <c r="C32" s="62" t="s">
        <v>71</v>
      </c>
      <c r="D32" s="63">
        <f t="shared" ref="D32:I32" si="6">SUM(D33:D33)</f>
        <v>193000</v>
      </c>
      <c r="E32" s="63">
        <f t="shared" si="6"/>
        <v>0</v>
      </c>
      <c r="F32" s="63">
        <f t="shared" si="6"/>
        <v>0</v>
      </c>
      <c r="G32" s="63">
        <f t="shared" si="6"/>
        <v>0</v>
      </c>
      <c r="H32" s="63">
        <f t="shared" si="6"/>
        <v>0</v>
      </c>
      <c r="I32" s="63">
        <f t="shared" si="6"/>
        <v>0</v>
      </c>
      <c r="J32" s="64"/>
    </row>
    <row r="33" spans="1:10" ht="27" customHeight="1">
      <c r="A33" s="65"/>
      <c r="B33" s="66"/>
      <c r="C33" s="67" t="s">
        <v>96</v>
      </c>
      <c r="D33" s="68">
        <v>193000</v>
      </c>
      <c r="E33" s="69">
        <f>SUM(F33:I33)</f>
        <v>0</v>
      </c>
      <c r="F33" s="69">
        <v>0</v>
      </c>
      <c r="G33" s="69">
        <v>0</v>
      </c>
      <c r="H33" s="69">
        <v>0</v>
      </c>
      <c r="I33" s="69">
        <v>0</v>
      </c>
      <c r="J33" s="70" t="s">
        <v>15</v>
      </c>
    </row>
    <row r="34" spans="1:10" s="52" customFormat="1" ht="15.75" customHeight="1">
      <c r="A34" s="60"/>
      <c r="B34" s="61" t="s">
        <v>67</v>
      </c>
      <c r="C34" s="62" t="s">
        <v>68</v>
      </c>
      <c r="D34" s="63">
        <f t="shared" ref="D34:I34" si="7">D35</f>
        <v>0</v>
      </c>
      <c r="E34" s="63">
        <f t="shared" si="7"/>
        <v>20000</v>
      </c>
      <c r="F34" s="63">
        <f t="shared" si="7"/>
        <v>20000</v>
      </c>
      <c r="G34" s="63">
        <f t="shared" si="7"/>
        <v>0</v>
      </c>
      <c r="H34" s="63">
        <f t="shared" si="7"/>
        <v>0</v>
      </c>
      <c r="I34" s="63">
        <f t="shared" si="7"/>
        <v>0</v>
      </c>
      <c r="J34" s="64"/>
    </row>
    <row r="35" spans="1:10" ht="14.25" customHeight="1">
      <c r="A35" s="65"/>
      <c r="B35" s="71"/>
      <c r="C35" s="72" t="s">
        <v>38</v>
      </c>
      <c r="D35" s="73">
        <v>0</v>
      </c>
      <c r="E35" s="74">
        <f>SUM(F35:I35)</f>
        <v>20000</v>
      </c>
      <c r="F35" s="73">
        <v>20000</v>
      </c>
      <c r="G35" s="73">
        <v>0</v>
      </c>
      <c r="H35" s="73">
        <v>0</v>
      </c>
      <c r="I35" s="73">
        <v>0</v>
      </c>
      <c r="J35" s="14" t="s">
        <v>15</v>
      </c>
    </row>
    <row r="36" spans="1:10" s="19" customFormat="1" ht="14.25" customHeight="1">
      <c r="A36" s="15" t="s">
        <v>17</v>
      </c>
      <c r="B36" s="15"/>
      <c r="C36" s="16" t="s">
        <v>53</v>
      </c>
      <c r="D36" s="17">
        <f t="shared" ref="D36:I36" si="8">D37</f>
        <v>42000</v>
      </c>
      <c r="E36" s="17">
        <f t="shared" si="8"/>
        <v>0</v>
      </c>
      <c r="F36" s="17">
        <f t="shared" si="8"/>
        <v>0</v>
      </c>
      <c r="G36" s="17">
        <f t="shared" si="8"/>
        <v>0</v>
      </c>
      <c r="H36" s="17">
        <f t="shared" si="8"/>
        <v>0</v>
      </c>
      <c r="I36" s="17">
        <f t="shared" si="8"/>
        <v>0</v>
      </c>
      <c r="J36" s="18"/>
    </row>
    <row r="37" spans="1:10" s="25" customFormat="1" ht="27.75" customHeight="1">
      <c r="A37" s="20"/>
      <c r="B37" s="75" t="s">
        <v>18</v>
      </c>
      <c r="C37" s="76" t="s">
        <v>137</v>
      </c>
      <c r="D37" s="50">
        <f t="shared" ref="D37:I37" si="9">SUM(D38:D38)</f>
        <v>42000</v>
      </c>
      <c r="E37" s="50">
        <f t="shared" si="9"/>
        <v>0</v>
      </c>
      <c r="F37" s="50">
        <f t="shared" si="9"/>
        <v>0</v>
      </c>
      <c r="G37" s="50">
        <f t="shared" si="9"/>
        <v>0</v>
      </c>
      <c r="H37" s="50">
        <f t="shared" si="9"/>
        <v>0</v>
      </c>
      <c r="I37" s="50">
        <f t="shared" si="9"/>
        <v>0</v>
      </c>
      <c r="J37" s="24"/>
    </row>
    <row r="38" spans="1:10" ht="38.25" customHeight="1">
      <c r="A38" s="47"/>
      <c r="B38" s="55"/>
      <c r="C38" s="67" t="s">
        <v>138</v>
      </c>
      <c r="D38" s="68">
        <v>42000</v>
      </c>
      <c r="E38" s="69">
        <f>SUM(F38:I38)</f>
        <v>0</v>
      </c>
      <c r="F38" s="69">
        <v>0</v>
      </c>
      <c r="G38" s="69">
        <v>0</v>
      </c>
      <c r="H38" s="69">
        <v>0</v>
      </c>
      <c r="I38" s="69">
        <v>0</v>
      </c>
      <c r="J38" s="77" t="s">
        <v>15</v>
      </c>
    </row>
    <row r="39" spans="1:10" s="19" customFormat="1" ht="14.25" customHeight="1">
      <c r="A39" s="15" t="s">
        <v>19</v>
      </c>
      <c r="B39" s="15"/>
      <c r="C39" s="16" t="s">
        <v>54</v>
      </c>
      <c r="D39" s="17">
        <f>D40+D43+D81+D83+D77</f>
        <v>687856029</v>
      </c>
      <c r="E39" s="17">
        <f t="shared" ref="E39:I39" si="10">E40+E43+E81+E83+E77</f>
        <v>6303472</v>
      </c>
      <c r="F39" s="17">
        <f t="shared" si="10"/>
        <v>5805000</v>
      </c>
      <c r="G39" s="17">
        <f t="shared" si="10"/>
        <v>0</v>
      </c>
      <c r="H39" s="17">
        <f t="shared" si="10"/>
        <v>498472</v>
      </c>
      <c r="I39" s="17">
        <f t="shared" si="10"/>
        <v>0</v>
      </c>
      <c r="J39" s="18"/>
    </row>
    <row r="40" spans="1:10" s="25" customFormat="1" ht="15.75" customHeight="1">
      <c r="A40" s="20"/>
      <c r="B40" s="75" t="s">
        <v>20</v>
      </c>
      <c r="C40" s="76" t="s">
        <v>55</v>
      </c>
      <c r="D40" s="50">
        <f t="shared" ref="D40:I40" si="11">SUM(D41:D42)</f>
        <v>8745929</v>
      </c>
      <c r="E40" s="50">
        <f t="shared" si="11"/>
        <v>0</v>
      </c>
      <c r="F40" s="50">
        <f t="shared" si="11"/>
        <v>0</v>
      </c>
      <c r="G40" s="50">
        <f t="shared" si="11"/>
        <v>0</v>
      </c>
      <c r="H40" s="50">
        <f t="shared" si="11"/>
        <v>0</v>
      </c>
      <c r="I40" s="50">
        <f t="shared" si="11"/>
        <v>0</v>
      </c>
      <c r="J40" s="24"/>
    </row>
    <row r="41" spans="1:10" ht="27.75" customHeight="1">
      <c r="A41" s="47"/>
      <c r="B41" s="55"/>
      <c r="C41" s="56" t="s">
        <v>139</v>
      </c>
      <c r="D41" s="43">
        <v>4231012</v>
      </c>
      <c r="E41" s="78">
        <f t="shared" ref="E41" si="12">SUM(F41:I41)</f>
        <v>0</v>
      </c>
      <c r="F41" s="43">
        <v>0</v>
      </c>
      <c r="G41" s="43">
        <v>0</v>
      </c>
      <c r="H41" s="43">
        <v>0</v>
      </c>
      <c r="I41" s="43">
        <v>0</v>
      </c>
      <c r="J41" s="35"/>
    </row>
    <row r="42" spans="1:10" ht="27" customHeight="1">
      <c r="A42" s="47"/>
      <c r="B42" s="55"/>
      <c r="C42" s="79" t="s">
        <v>150</v>
      </c>
      <c r="D42" s="80">
        <f>4514484+433</f>
        <v>4514917</v>
      </c>
      <c r="E42" s="81">
        <f t="shared" ref="E42:E76" si="13">SUM(F42:I42)</f>
        <v>0</v>
      </c>
      <c r="F42" s="80">
        <v>0</v>
      </c>
      <c r="G42" s="80">
        <v>0</v>
      </c>
      <c r="H42" s="80">
        <v>0</v>
      </c>
      <c r="I42" s="80">
        <v>0</v>
      </c>
      <c r="J42" s="35"/>
    </row>
    <row r="43" spans="1:10" s="25" customFormat="1" ht="15.75" customHeight="1">
      <c r="A43" s="47"/>
      <c r="B43" s="75" t="s">
        <v>21</v>
      </c>
      <c r="C43" s="76" t="s">
        <v>56</v>
      </c>
      <c r="D43" s="50">
        <f>SUM(D44:D76)</f>
        <v>582251729</v>
      </c>
      <c r="E43" s="50">
        <f>SUM(E44:E76)</f>
        <v>6000000</v>
      </c>
      <c r="F43" s="50">
        <f t="shared" ref="F43:I43" si="14">SUM(F44:F76)</f>
        <v>5805000</v>
      </c>
      <c r="G43" s="50">
        <f t="shared" si="14"/>
        <v>0</v>
      </c>
      <c r="H43" s="50">
        <f t="shared" si="14"/>
        <v>195000</v>
      </c>
      <c r="I43" s="50">
        <f t="shared" si="14"/>
        <v>0</v>
      </c>
      <c r="J43" s="24"/>
    </row>
    <row r="44" spans="1:10" ht="39" customHeight="1">
      <c r="A44" s="47"/>
      <c r="B44" s="82"/>
      <c r="C44" s="83" t="s">
        <v>75</v>
      </c>
      <c r="D44" s="78">
        <f>3500000-430939</f>
        <v>3069061</v>
      </c>
      <c r="E44" s="78">
        <f t="shared" si="13"/>
        <v>0</v>
      </c>
      <c r="F44" s="78">
        <v>0</v>
      </c>
      <c r="G44" s="29">
        <v>0</v>
      </c>
      <c r="H44" s="29">
        <v>0</v>
      </c>
      <c r="I44" s="29">
        <v>0</v>
      </c>
      <c r="J44" s="31" t="s">
        <v>22</v>
      </c>
    </row>
    <row r="45" spans="1:10" ht="27" customHeight="1">
      <c r="A45" s="47"/>
      <c r="B45" s="55"/>
      <c r="C45" s="84" t="s">
        <v>76</v>
      </c>
      <c r="D45" s="81">
        <f>6000000-5500000-400000</f>
        <v>100000</v>
      </c>
      <c r="E45" s="81">
        <f t="shared" si="13"/>
        <v>0</v>
      </c>
      <c r="F45" s="81">
        <v>0</v>
      </c>
      <c r="G45" s="34">
        <v>0</v>
      </c>
      <c r="H45" s="34">
        <v>0</v>
      </c>
      <c r="I45" s="34">
        <v>0</v>
      </c>
      <c r="J45" s="35"/>
    </row>
    <row r="46" spans="1:10" ht="41.25" hidden="1" customHeight="1">
      <c r="A46" s="47"/>
      <c r="B46" s="55"/>
      <c r="C46" s="84" t="s">
        <v>77</v>
      </c>
      <c r="D46" s="81">
        <f>3000000-3000000</f>
        <v>0</v>
      </c>
      <c r="E46" s="81">
        <f t="shared" si="13"/>
        <v>0</v>
      </c>
      <c r="F46" s="81">
        <v>0</v>
      </c>
      <c r="G46" s="34">
        <v>0</v>
      </c>
      <c r="H46" s="34">
        <v>0</v>
      </c>
      <c r="I46" s="34">
        <v>0</v>
      </c>
      <c r="J46" s="35"/>
    </row>
    <row r="47" spans="1:10" ht="51.75" customHeight="1">
      <c r="A47" s="47"/>
      <c r="B47" s="65"/>
      <c r="C47" s="85" t="s">
        <v>129</v>
      </c>
      <c r="D47" s="81">
        <v>0</v>
      </c>
      <c r="E47" s="81">
        <f t="shared" si="13"/>
        <v>3550000</v>
      </c>
      <c r="F47" s="81">
        <f>4350000-500000-300000</f>
        <v>3550000</v>
      </c>
      <c r="G47" s="34">
        <v>0</v>
      </c>
      <c r="H47" s="34">
        <v>0</v>
      </c>
      <c r="I47" s="34">
        <v>0</v>
      </c>
      <c r="J47" s="35"/>
    </row>
    <row r="48" spans="1:10" ht="15.75" customHeight="1">
      <c r="A48" s="47"/>
      <c r="B48" s="65"/>
      <c r="C48" s="84" t="s">
        <v>78</v>
      </c>
      <c r="D48" s="81">
        <f>4000000-500000</f>
        <v>3500000</v>
      </c>
      <c r="E48" s="81">
        <f t="shared" si="13"/>
        <v>0</v>
      </c>
      <c r="F48" s="81">
        <v>0</v>
      </c>
      <c r="G48" s="34">
        <v>0</v>
      </c>
      <c r="H48" s="34">
        <v>0</v>
      </c>
      <c r="I48" s="34">
        <v>0</v>
      </c>
      <c r="J48" s="35"/>
    </row>
    <row r="49" spans="1:10" s="52" customFormat="1" ht="42.75" customHeight="1">
      <c r="A49" s="47"/>
      <c r="B49" s="60"/>
      <c r="C49" s="86" t="s">
        <v>151</v>
      </c>
      <c r="D49" s="81">
        <f>400000-400000</f>
        <v>0</v>
      </c>
      <c r="E49" s="81">
        <f t="shared" si="13"/>
        <v>1200000</v>
      </c>
      <c r="F49" s="81">
        <f>400000+500000+300000</f>
        <v>1200000</v>
      </c>
      <c r="G49" s="34">
        <v>0</v>
      </c>
      <c r="H49" s="34">
        <v>0</v>
      </c>
      <c r="I49" s="34">
        <v>0</v>
      </c>
      <c r="J49" s="35"/>
    </row>
    <row r="50" spans="1:10" ht="17.25" customHeight="1">
      <c r="A50" s="47"/>
      <c r="B50" s="65"/>
      <c r="C50" s="84" t="s">
        <v>130</v>
      </c>
      <c r="D50" s="81">
        <v>0</v>
      </c>
      <c r="E50" s="81">
        <f t="shared" si="13"/>
        <v>135000</v>
      </c>
      <c r="F50" s="81">
        <v>100000</v>
      </c>
      <c r="G50" s="34">
        <v>0</v>
      </c>
      <c r="H50" s="34">
        <v>35000</v>
      </c>
      <c r="I50" s="34">
        <v>0</v>
      </c>
      <c r="J50" s="35"/>
    </row>
    <row r="51" spans="1:10" ht="26.25" customHeight="1">
      <c r="A51" s="47"/>
      <c r="B51" s="65"/>
      <c r="C51" s="84" t="s">
        <v>133</v>
      </c>
      <c r="D51" s="81">
        <f>1000000-1000000+400000</f>
        <v>400000</v>
      </c>
      <c r="E51" s="81">
        <f t="shared" si="13"/>
        <v>0</v>
      </c>
      <c r="F51" s="81">
        <v>0</v>
      </c>
      <c r="G51" s="34">
        <v>0</v>
      </c>
      <c r="H51" s="34">
        <v>0</v>
      </c>
      <c r="I51" s="34">
        <v>0</v>
      </c>
      <c r="J51" s="35"/>
    </row>
    <row r="52" spans="1:10" ht="26.25" customHeight="1">
      <c r="A52" s="47"/>
      <c r="B52" s="65"/>
      <c r="C52" s="87" t="s">
        <v>23</v>
      </c>
      <c r="D52" s="81">
        <f>55622825+808292-44263+500000-10282635+6760614+118250</f>
        <v>53483083</v>
      </c>
      <c r="E52" s="81">
        <f t="shared" si="13"/>
        <v>0</v>
      </c>
      <c r="F52" s="81">
        <v>0</v>
      </c>
      <c r="G52" s="34">
        <v>0</v>
      </c>
      <c r="H52" s="34">
        <v>0</v>
      </c>
      <c r="I52" s="34">
        <v>0</v>
      </c>
      <c r="J52" s="35"/>
    </row>
    <row r="53" spans="1:10" ht="27" customHeight="1">
      <c r="A53" s="47"/>
      <c r="B53" s="65"/>
      <c r="C53" s="87" t="s">
        <v>24</v>
      </c>
      <c r="D53" s="81">
        <f>64950710+8787229+737600+89167</f>
        <v>74564706</v>
      </c>
      <c r="E53" s="81">
        <f t="shared" si="13"/>
        <v>0</v>
      </c>
      <c r="F53" s="81">
        <v>0</v>
      </c>
      <c r="G53" s="34">
        <v>0</v>
      </c>
      <c r="H53" s="34">
        <v>0</v>
      </c>
      <c r="I53" s="34">
        <v>0</v>
      </c>
      <c r="J53" s="35"/>
    </row>
    <row r="54" spans="1:10" ht="27" customHeight="1">
      <c r="A54" s="47"/>
      <c r="B54" s="65"/>
      <c r="C54" s="87" t="s">
        <v>25</v>
      </c>
      <c r="D54" s="88">
        <f>53119186+932600-53119186</f>
        <v>932600</v>
      </c>
      <c r="E54" s="81">
        <f t="shared" si="13"/>
        <v>0</v>
      </c>
      <c r="F54" s="81">
        <v>0</v>
      </c>
      <c r="G54" s="34">
        <v>0</v>
      </c>
      <c r="H54" s="34">
        <v>0</v>
      </c>
      <c r="I54" s="34">
        <v>0</v>
      </c>
      <c r="J54" s="35"/>
    </row>
    <row r="55" spans="1:10" ht="18.75" customHeight="1">
      <c r="A55" s="47"/>
      <c r="B55" s="65"/>
      <c r="C55" s="87" t="s">
        <v>148</v>
      </c>
      <c r="D55" s="81">
        <f>53057918+106404</f>
        <v>53164322</v>
      </c>
      <c r="E55" s="81">
        <f t="shared" ref="E55:E56" si="15">SUM(F55:I55)</f>
        <v>0</v>
      </c>
      <c r="F55" s="81">
        <v>0</v>
      </c>
      <c r="G55" s="34">
        <v>0</v>
      </c>
      <c r="H55" s="34">
        <v>0</v>
      </c>
      <c r="I55" s="34">
        <v>0</v>
      </c>
      <c r="J55" s="35"/>
    </row>
    <row r="56" spans="1:10" ht="27" customHeight="1">
      <c r="A56" s="47"/>
      <c r="B56" s="65"/>
      <c r="C56" s="87" t="s">
        <v>149</v>
      </c>
      <c r="D56" s="81">
        <f>5485238+2270</f>
        <v>5487508</v>
      </c>
      <c r="E56" s="81">
        <f t="shared" si="15"/>
        <v>0</v>
      </c>
      <c r="F56" s="81">
        <v>0</v>
      </c>
      <c r="G56" s="34">
        <v>0</v>
      </c>
      <c r="H56" s="34">
        <v>0</v>
      </c>
      <c r="I56" s="34">
        <v>0</v>
      </c>
      <c r="J56" s="35"/>
    </row>
    <row r="57" spans="1:10" ht="15" customHeight="1">
      <c r="A57" s="47"/>
      <c r="B57" s="65"/>
      <c r="C57" s="87" t="s">
        <v>26</v>
      </c>
      <c r="D57" s="81">
        <v>17675592</v>
      </c>
      <c r="E57" s="81">
        <f t="shared" si="13"/>
        <v>0</v>
      </c>
      <c r="F57" s="81">
        <v>0</v>
      </c>
      <c r="G57" s="34">
        <v>0</v>
      </c>
      <c r="H57" s="34">
        <v>0</v>
      </c>
      <c r="I57" s="34">
        <v>0</v>
      </c>
      <c r="J57" s="35"/>
    </row>
    <row r="58" spans="1:10" s="52" customFormat="1" ht="27.75" customHeight="1">
      <c r="A58" s="47"/>
      <c r="B58" s="60"/>
      <c r="C58" s="87" t="s">
        <v>27</v>
      </c>
      <c r="D58" s="81">
        <f>778776-351934</f>
        <v>426842</v>
      </c>
      <c r="E58" s="81">
        <f t="shared" si="13"/>
        <v>0</v>
      </c>
      <c r="F58" s="81">
        <v>0</v>
      </c>
      <c r="G58" s="34">
        <v>0</v>
      </c>
      <c r="H58" s="34">
        <v>0</v>
      </c>
      <c r="I58" s="34">
        <v>0</v>
      </c>
      <c r="J58" s="35"/>
    </row>
    <row r="59" spans="1:10" ht="16.5" customHeight="1">
      <c r="A59" s="47"/>
      <c r="B59" s="65"/>
      <c r="C59" s="87" t="s">
        <v>28</v>
      </c>
      <c r="D59" s="81">
        <f>28311593+2000</f>
        <v>28313593</v>
      </c>
      <c r="E59" s="81">
        <f t="shared" si="13"/>
        <v>0</v>
      </c>
      <c r="F59" s="81">
        <v>0</v>
      </c>
      <c r="G59" s="34">
        <v>0</v>
      </c>
      <c r="H59" s="34">
        <v>0</v>
      </c>
      <c r="I59" s="34">
        <v>0</v>
      </c>
      <c r="J59" s="35"/>
    </row>
    <row r="60" spans="1:10" s="52" customFormat="1" ht="28.5" customHeight="1">
      <c r="A60" s="47"/>
      <c r="B60" s="60"/>
      <c r="C60" s="89" t="s">
        <v>81</v>
      </c>
      <c r="D60" s="90">
        <f>15889911+299800+29368</f>
        <v>16219079</v>
      </c>
      <c r="E60" s="90">
        <f t="shared" si="13"/>
        <v>0</v>
      </c>
      <c r="F60" s="90">
        <v>0</v>
      </c>
      <c r="G60" s="43">
        <v>0</v>
      </c>
      <c r="H60" s="43">
        <v>0</v>
      </c>
      <c r="I60" s="43">
        <v>0</v>
      </c>
      <c r="J60" s="35"/>
    </row>
    <row r="61" spans="1:10" s="52" customFormat="1" ht="25.5">
      <c r="A61" s="47"/>
      <c r="B61" s="60"/>
      <c r="C61" s="87" t="s">
        <v>29</v>
      </c>
      <c r="D61" s="81">
        <f>27476934+42278</f>
        <v>27519212</v>
      </c>
      <c r="E61" s="81">
        <f t="shared" si="13"/>
        <v>0</v>
      </c>
      <c r="F61" s="81">
        <v>0</v>
      </c>
      <c r="G61" s="34">
        <v>0</v>
      </c>
      <c r="H61" s="34">
        <v>0</v>
      </c>
      <c r="I61" s="34">
        <v>0</v>
      </c>
      <c r="J61" s="35"/>
    </row>
    <row r="62" spans="1:10" ht="27.75" customHeight="1">
      <c r="A62" s="91"/>
      <c r="B62" s="66"/>
      <c r="C62" s="92" t="s">
        <v>30</v>
      </c>
      <c r="D62" s="93">
        <f>36871074+105695</f>
        <v>36976769</v>
      </c>
      <c r="E62" s="93">
        <f t="shared" si="13"/>
        <v>0</v>
      </c>
      <c r="F62" s="93">
        <v>0</v>
      </c>
      <c r="G62" s="39">
        <v>0</v>
      </c>
      <c r="H62" s="39">
        <v>0</v>
      </c>
      <c r="I62" s="39">
        <v>0</v>
      </c>
      <c r="J62" s="41"/>
    </row>
    <row r="63" spans="1:10" ht="27.75" customHeight="1">
      <c r="A63" s="47"/>
      <c r="B63" s="65"/>
      <c r="C63" s="89" t="s">
        <v>31</v>
      </c>
      <c r="D63" s="90">
        <f>32717101+2000</f>
        <v>32719101</v>
      </c>
      <c r="E63" s="90">
        <f t="shared" si="13"/>
        <v>0</v>
      </c>
      <c r="F63" s="90">
        <v>0</v>
      </c>
      <c r="G63" s="43">
        <v>0</v>
      </c>
      <c r="H63" s="43">
        <v>0</v>
      </c>
      <c r="I63" s="43">
        <v>0</v>
      </c>
      <c r="J63" s="94" t="s">
        <v>22</v>
      </c>
    </row>
    <row r="64" spans="1:10" ht="27.75" customHeight="1">
      <c r="A64" s="47"/>
      <c r="B64" s="65"/>
      <c r="C64" s="89" t="s">
        <v>32</v>
      </c>
      <c r="D64" s="90">
        <f>28472256+2000+29864</f>
        <v>28504120</v>
      </c>
      <c r="E64" s="90">
        <f t="shared" si="13"/>
        <v>0</v>
      </c>
      <c r="F64" s="90">
        <v>0</v>
      </c>
      <c r="G64" s="43">
        <v>0</v>
      </c>
      <c r="H64" s="43">
        <v>0</v>
      </c>
      <c r="I64" s="43">
        <v>0</v>
      </c>
      <c r="J64" s="95"/>
    </row>
    <row r="65" spans="1:10" ht="27.75" hidden="1" customHeight="1">
      <c r="A65" s="47"/>
      <c r="B65" s="65"/>
      <c r="C65" s="87" t="s">
        <v>33</v>
      </c>
      <c r="D65" s="81">
        <f>8979-8979</f>
        <v>0</v>
      </c>
      <c r="E65" s="81">
        <f t="shared" si="13"/>
        <v>0</v>
      </c>
      <c r="F65" s="81">
        <v>0</v>
      </c>
      <c r="G65" s="34">
        <v>0</v>
      </c>
      <c r="H65" s="34">
        <v>0</v>
      </c>
      <c r="I65" s="34">
        <v>0</v>
      </c>
      <c r="J65" s="95"/>
    </row>
    <row r="66" spans="1:10" ht="39.75" customHeight="1">
      <c r="A66" s="47"/>
      <c r="B66" s="65"/>
      <c r="C66" s="87" t="s">
        <v>34</v>
      </c>
      <c r="D66" s="81">
        <f>19935185+1526338+5500000-3639573+44580</f>
        <v>23366530</v>
      </c>
      <c r="E66" s="81">
        <f t="shared" si="13"/>
        <v>0</v>
      </c>
      <c r="F66" s="81">
        <v>0</v>
      </c>
      <c r="G66" s="34">
        <v>0</v>
      </c>
      <c r="H66" s="34">
        <v>0</v>
      </c>
      <c r="I66" s="34">
        <v>0</v>
      </c>
      <c r="J66" s="95"/>
    </row>
    <row r="67" spans="1:10" ht="39.75" customHeight="1">
      <c r="A67" s="47"/>
      <c r="B67" s="65"/>
      <c r="C67" s="87" t="s">
        <v>79</v>
      </c>
      <c r="D67" s="81">
        <f>26656060+113744-27103+27104+100000-3920799+4862379+20784</f>
        <v>27832169</v>
      </c>
      <c r="E67" s="81">
        <f t="shared" si="13"/>
        <v>0</v>
      </c>
      <c r="F67" s="81">
        <v>0</v>
      </c>
      <c r="G67" s="34">
        <v>0</v>
      </c>
      <c r="H67" s="34">
        <v>0</v>
      </c>
      <c r="I67" s="34">
        <v>0</v>
      </c>
      <c r="J67" s="95"/>
    </row>
    <row r="68" spans="1:10" ht="28.5" customHeight="1">
      <c r="A68" s="47"/>
      <c r="B68" s="65"/>
      <c r="C68" s="87" t="s">
        <v>35</v>
      </c>
      <c r="D68" s="81">
        <f>41689745+42168</f>
        <v>41731913</v>
      </c>
      <c r="E68" s="81">
        <f t="shared" si="13"/>
        <v>0</v>
      </c>
      <c r="F68" s="81">
        <v>0</v>
      </c>
      <c r="G68" s="34">
        <v>0</v>
      </c>
      <c r="H68" s="34">
        <v>0</v>
      </c>
      <c r="I68" s="34">
        <v>0</v>
      </c>
      <c r="J68" s="95"/>
    </row>
    <row r="69" spans="1:10" ht="40.5" customHeight="1">
      <c r="A69" s="47"/>
      <c r="B69" s="65"/>
      <c r="C69" s="87" t="s">
        <v>80</v>
      </c>
      <c r="D69" s="81">
        <f>32908063+1101722+3000000-1804961+53135</f>
        <v>35257959</v>
      </c>
      <c r="E69" s="81">
        <f t="shared" si="13"/>
        <v>0</v>
      </c>
      <c r="F69" s="81">
        <v>0</v>
      </c>
      <c r="G69" s="34">
        <v>0</v>
      </c>
      <c r="H69" s="34">
        <v>0</v>
      </c>
      <c r="I69" s="34">
        <v>0</v>
      </c>
      <c r="J69" s="95"/>
    </row>
    <row r="70" spans="1:10" ht="27.75" customHeight="1">
      <c r="A70" s="47"/>
      <c r="B70" s="65"/>
      <c r="C70" s="87" t="s">
        <v>36</v>
      </c>
      <c r="D70" s="88">
        <f>41219253+680735+7051-1360809+1360810+67709-3208595+10345763+25397</f>
        <v>49137314</v>
      </c>
      <c r="E70" s="81">
        <f t="shared" si="13"/>
        <v>0</v>
      </c>
      <c r="F70" s="81">
        <v>0</v>
      </c>
      <c r="G70" s="34">
        <v>0</v>
      </c>
      <c r="H70" s="34">
        <v>0</v>
      </c>
      <c r="I70" s="34">
        <v>0</v>
      </c>
      <c r="J70" s="95"/>
    </row>
    <row r="71" spans="1:10" ht="39.75" customHeight="1">
      <c r="A71" s="47"/>
      <c r="B71" s="65"/>
      <c r="C71" s="87" t="s">
        <v>37</v>
      </c>
      <c r="D71" s="81">
        <v>11486384</v>
      </c>
      <c r="E71" s="81">
        <f t="shared" si="13"/>
        <v>0</v>
      </c>
      <c r="F71" s="81">
        <v>0</v>
      </c>
      <c r="G71" s="34">
        <v>0</v>
      </c>
      <c r="H71" s="34">
        <v>0</v>
      </c>
      <c r="I71" s="34">
        <v>0</v>
      </c>
      <c r="J71" s="95"/>
    </row>
    <row r="72" spans="1:10" ht="51">
      <c r="A72" s="47"/>
      <c r="B72" s="65"/>
      <c r="C72" s="87" t="s">
        <v>145</v>
      </c>
      <c r="D72" s="81">
        <f>7382933+3000939</f>
        <v>10383872</v>
      </c>
      <c r="E72" s="81">
        <f t="shared" si="13"/>
        <v>0</v>
      </c>
      <c r="F72" s="81">
        <v>0</v>
      </c>
      <c r="G72" s="34">
        <v>0</v>
      </c>
      <c r="H72" s="34">
        <v>0</v>
      </c>
      <c r="I72" s="34">
        <v>0</v>
      </c>
      <c r="J72" s="95"/>
    </row>
    <row r="73" spans="1:10" ht="27" customHeight="1">
      <c r="A73" s="47"/>
      <c r="B73" s="65"/>
      <c r="C73" s="96" t="s">
        <v>131</v>
      </c>
      <c r="D73" s="97">
        <v>0</v>
      </c>
      <c r="E73" s="81">
        <f t="shared" si="13"/>
        <v>80000</v>
      </c>
      <c r="F73" s="97">
        <v>80000</v>
      </c>
      <c r="G73" s="34">
        <v>0</v>
      </c>
      <c r="H73" s="34">
        <v>0</v>
      </c>
      <c r="I73" s="34">
        <v>0</v>
      </c>
      <c r="J73" s="95"/>
    </row>
    <row r="74" spans="1:10" ht="37.5" customHeight="1">
      <c r="A74" s="47"/>
      <c r="B74" s="65"/>
      <c r="C74" s="96" t="s">
        <v>169</v>
      </c>
      <c r="D74" s="97">
        <v>0</v>
      </c>
      <c r="E74" s="81">
        <f t="shared" si="13"/>
        <v>850000</v>
      </c>
      <c r="F74" s="97">
        <f>350000+500000</f>
        <v>850000</v>
      </c>
      <c r="G74" s="34">
        <v>0</v>
      </c>
      <c r="H74" s="34">
        <v>0</v>
      </c>
      <c r="I74" s="34">
        <v>0</v>
      </c>
      <c r="J74" s="95"/>
    </row>
    <row r="75" spans="1:10" ht="21" customHeight="1">
      <c r="A75" s="47"/>
      <c r="B75" s="65"/>
      <c r="C75" s="96" t="s">
        <v>38</v>
      </c>
      <c r="D75" s="97">
        <v>0</v>
      </c>
      <c r="E75" s="81">
        <f t="shared" si="13"/>
        <v>25000</v>
      </c>
      <c r="F75" s="97">
        <f>355000-330000</f>
        <v>25000</v>
      </c>
      <c r="G75" s="34">
        <v>0</v>
      </c>
      <c r="H75" s="34">
        <v>0</v>
      </c>
      <c r="I75" s="34">
        <v>0</v>
      </c>
      <c r="J75" s="95"/>
    </row>
    <row r="76" spans="1:10" ht="31.5" customHeight="1">
      <c r="A76" s="47"/>
      <c r="B76" s="65"/>
      <c r="C76" s="98" t="s">
        <v>146</v>
      </c>
      <c r="D76" s="99">
        <v>0</v>
      </c>
      <c r="E76" s="81">
        <f t="shared" si="13"/>
        <v>160000</v>
      </c>
      <c r="F76" s="99">
        <v>0</v>
      </c>
      <c r="G76" s="74">
        <v>0</v>
      </c>
      <c r="H76" s="74">
        <v>160000</v>
      </c>
      <c r="I76" s="74">
        <v>0</v>
      </c>
      <c r="J76" s="100"/>
    </row>
    <row r="77" spans="1:10" s="25" customFormat="1" ht="15.75" customHeight="1">
      <c r="A77" s="47"/>
      <c r="B77" s="75" t="s">
        <v>160</v>
      </c>
      <c r="C77" s="76" t="s">
        <v>161</v>
      </c>
      <c r="D77" s="50">
        <f>SUM(D78:D80)</f>
        <v>0</v>
      </c>
      <c r="E77" s="50">
        <f t="shared" ref="E77:I77" si="16">SUM(E78:E80)</f>
        <v>245000</v>
      </c>
      <c r="F77" s="50">
        <f t="shared" si="16"/>
        <v>0</v>
      </c>
      <c r="G77" s="50">
        <f t="shared" si="16"/>
        <v>0</v>
      </c>
      <c r="H77" s="50">
        <f t="shared" si="16"/>
        <v>245000</v>
      </c>
      <c r="I77" s="50">
        <f t="shared" si="16"/>
        <v>0</v>
      </c>
      <c r="J77" s="24"/>
    </row>
    <row r="78" spans="1:10" ht="28.5" customHeight="1">
      <c r="A78" s="47"/>
      <c r="B78" s="82"/>
      <c r="C78" s="83" t="s">
        <v>162</v>
      </c>
      <c r="D78" s="78">
        <v>0</v>
      </c>
      <c r="E78" s="78">
        <f t="shared" ref="E78:E80" si="17">SUM(F78:I78)</f>
        <v>25000</v>
      </c>
      <c r="F78" s="78">
        <v>0</v>
      </c>
      <c r="G78" s="29">
        <v>0</v>
      </c>
      <c r="H78" s="78">
        <v>25000</v>
      </c>
      <c r="I78" s="29">
        <v>0</v>
      </c>
      <c r="J78" s="94" t="s">
        <v>22</v>
      </c>
    </row>
    <row r="79" spans="1:10" ht="27" customHeight="1">
      <c r="A79" s="47"/>
      <c r="B79" s="55"/>
      <c r="C79" s="84" t="s">
        <v>163</v>
      </c>
      <c r="D79" s="81">
        <v>0</v>
      </c>
      <c r="E79" s="81">
        <f t="shared" si="17"/>
        <v>100000</v>
      </c>
      <c r="F79" s="81">
        <v>0</v>
      </c>
      <c r="G79" s="34">
        <v>0</v>
      </c>
      <c r="H79" s="81">
        <v>100000</v>
      </c>
      <c r="I79" s="34">
        <v>0</v>
      </c>
      <c r="J79" s="95"/>
    </row>
    <row r="80" spans="1:10" ht="41.25" customHeight="1">
      <c r="A80" s="47"/>
      <c r="B80" s="55"/>
      <c r="C80" s="84" t="s">
        <v>164</v>
      </c>
      <c r="D80" s="81">
        <v>0</v>
      </c>
      <c r="E80" s="81">
        <f t="shared" si="17"/>
        <v>120000</v>
      </c>
      <c r="F80" s="81">
        <v>0</v>
      </c>
      <c r="G80" s="34">
        <v>0</v>
      </c>
      <c r="H80" s="81">
        <v>120000</v>
      </c>
      <c r="I80" s="34">
        <v>0</v>
      </c>
      <c r="J80" s="100"/>
    </row>
    <row r="81" spans="1:10" s="25" customFormat="1" ht="15.75" customHeight="1">
      <c r="A81" s="47"/>
      <c r="B81" s="75" t="s">
        <v>39</v>
      </c>
      <c r="C81" s="76" t="s">
        <v>57</v>
      </c>
      <c r="D81" s="50">
        <f t="shared" ref="D81:I81" si="18">D82</f>
        <v>95708371</v>
      </c>
      <c r="E81" s="50">
        <f t="shared" si="18"/>
        <v>0</v>
      </c>
      <c r="F81" s="50">
        <f t="shared" si="18"/>
        <v>0</v>
      </c>
      <c r="G81" s="50">
        <f t="shared" si="18"/>
        <v>0</v>
      </c>
      <c r="H81" s="50">
        <f t="shared" si="18"/>
        <v>0</v>
      </c>
      <c r="I81" s="50">
        <f t="shared" si="18"/>
        <v>0</v>
      </c>
      <c r="J81" s="24"/>
    </row>
    <row r="82" spans="1:10" s="52" customFormat="1" ht="27" customHeight="1">
      <c r="A82" s="47"/>
      <c r="B82" s="47"/>
      <c r="C82" s="101" t="s">
        <v>144</v>
      </c>
      <c r="D82" s="102">
        <v>95708371</v>
      </c>
      <c r="E82" s="103">
        <f>SUM(F82:I82)</f>
        <v>0</v>
      </c>
      <c r="F82" s="103">
        <v>0</v>
      </c>
      <c r="G82" s="103">
        <v>0</v>
      </c>
      <c r="H82" s="103">
        <v>0</v>
      </c>
      <c r="I82" s="103">
        <v>0</v>
      </c>
      <c r="J82" s="104" t="s">
        <v>15</v>
      </c>
    </row>
    <row r="83" spans="1:10" s="25" customFormat="1" ht="15.75" customHeight="1">
      <c r="A83" s="47"/>
      <c r="B83" s="75" t="s">
        <v>40</v>
      </c>
      <c r="C83" s="76" t="s">
        <v>58</v>
      </c>
      <c r="D83" s="50">
        <f t="shared" ref="D83:I83" si="19">SUM(D84:D85)</f>
        <v>1150000</v>
      </c>
      <c r="E83" s="50">
        <f t="shared" si="19"/>
        <v>58472</v>
      </c>
      <c r="F83" s="50">
        <f t="shared" si="19"/>
        <v>0</v>
      </c>
      <c r="G83" s="50">
        <f t="shared" si="19"/>
        <v>0</v>
      </c>
      <c r="H83" s="50">
        <f t="shared" si="19"/>
        <v>58472</v>
      </c>
      <c r="I83" s="50">
        <f t="shared" si="19"/>
        <v>0</v>
      </c>
      <c r="J83" s="24"/>
    </row>
    <row r="84" spans="1:10" s="52" customFormat="1" ht="14.25" customHeight="1">
      <c r="A84" s="47"/>
      <c r="B84" s="47"/>
      <c r="C84" s="53" t="s">
        <v>143</v>
      </c>
      <c r="D84" s="105">
        <v>0</v>
      </c>
      <c r="E84" s="105">
        <f>SUM(F84:I84)</f>
        <v>58472</v>
      </c>
      <c r="F84" s="105">
        <v>0</v>
      </c>
      <c r="G84" s="105">
        <v>0</v>
      </c>
      <c r="H84" s="105">
        <f>73472-15000</f>
        <v>58472</v>
      </c>
      <c r="I84" s="105">
        <v>0</v>
      </c>
      <c r="J84" s="31" t="s">
        <v>15</v>
      </c>
    </row>
    <row r="85" spans="1:10" s="52" customFormat="1" ht="14.25" customHeight="1">
      <c r="A85" s="59"/>
      <c r="B85" s="59"/>
      <c r="C85" s="38" t="s">
        <v>73</v>
      </c>
      <c r="D85" s="106">
        <v>1150000</v>
      </c>
      <c r="E85" s="107">
        <f>SUM(F85:I85)</f>
        <v>0</v>
      </c>
      <c r="F85" s="107">
        <v>0</v>
      </c>
      <c r="G85" s="107">
        <v>0</v>
      </c>
      <c r="H85" s="107">
        <v>0</v>
      </c>
      <c r="I85" s="107">
        <v>0</v>
      </c>
      <c r="J85" s="41"/>
    </row>
    <row r="86" spans="1:10" s="19" customFormat="1" ht="14.25" customHeight="1">
      <c r="A86" s="15" t="s">
        <v>86</v>
      </c>
      <c r="B86" s="15"/>
      <c r="C86" s="16" t="s">
        <v>88</v>
      </c>
      <c r="D86" s="17">
        <f t="shared" ref="D86:I86" si="20">D87</f>
        <v>5479900</v>
      </c>
      <c r="E86" s="17">
        <f t="shared" si="20"/>
        <v>0</v>
      </c>
      <c r="F86" s="17">
        <f t="shared" si="20"/>
        <v>0</v>
      </c>
      <c r="G86" s="17">
        <f t="shared" si="20"/>
        <v>0</v>
      </c>
      <c r="H86" s="17">
        <f t="shared" si="20"/>
        <v>0</v>
      </c>
      <c r="I86" s="17">
        <f t="shared" si="20"/>
        <v>0</v>
      </c>
      <c r="J86" s="18"/>
    </row>
    <row r="87" spans="1:10" s="25" customFormat="1" ht="15.75" customHeight="1">
      <c r="A87" s="20"/>
      <c r="B87" s="75" t="s">
        <v>87</v>
      </c>
      <c r="C87" s="76" t="s">
        <v>89</v>
      </c>
      <c r="D87" s="50">
        <f t="shared" ref="D87:I87" si="21">SUM(D88:D88)</f>
        <v>5479900</v>
      </c>
      <c r="E87" s="50">
        <f t="shared" si="21"/>
        <v>0</v>
      </c>
      <c r="F87" s="50">
        <f t="shared" si="21"/>
        <v>0</v>
      </c>
      <c r="G87" s="50">
        <f t="shared" si="21"/>
        <v>0</v>
      </c>
      <c r="H87" s="50">
        <f t="shared" si="21"/>
        <v>0</v>
      </c>
      <c r="I87" s="50">
        <f t="shared" si="21"/>
        <v>0</v>
      </c>
      <c r="J87" s="24"/>
    </row>
    <row r="88" spans="1:10" ht="30" customHeight="1">
      <c r="A88" s="66"/>
      <c r="B88" s="66"/>
      <c r="C88" s="108" t="s">
        <v>90</v>
      </c>
      <c r="D88" s="40">
        <v>5479900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104" t="s">
        <v>15</v>
      </c>
    </row>
    <row r="89" spans="1:10" s="19" customFormat="1" ht="14.25" customHeight="1">
      <c r="A89" s="15" t="s">
        <v>41</v>
      </c>
      <c r="B89" s="15"/>
      <c r="C89" s="16" t="s">
        <v>59</v>
      </c>
      <c r="D89" s="17">
        <f t="shared" ref="D89:I89" si="22">D90</f>
        <v>0</v>
      </c>
      <c r="E89" s="17">
        <f t="shared" si="22"/>
        <v>350000</v>
      </c>
      <c r="F89" s="17">
        <f t="shared" si="22"/>
        <v>350000</v>
      </c>
      <c r="G89" s="17">
        <f t="shared" si="22"/>
        <v>0</v>
      </c>
      <c r="H89" s="17">
        <f t="shared" si="22"/>
        <v>0</v>
      </c>
      <c r="I89" s="17">
        <f t="shared" si="22"/>
        <v>0</v>
      </c>
      <c r="J89" s="18"/>
    </row>
    <row r="90" spans="1:10" s="25" customFormat="1" ht="15.75" customHeight="1">
      <c r="A90" s="20"/>
      <c r="B90" s="75" t="s">
        <v>42</v>
      </c>
      <c r="C90" s="76" t="s">
        <v>60</v>
      </c>
      <c r="D90" s="50">
        <f t="shared" ref="D90:I90" si="23">SUM(D91:D92)</f>
        <v>0</v>
      </c>
      <c r="E90" s="50">
        <f t="shared" si="23"/>
        <v>350000</v>
      </c>
      <c r="F90" s="50">
        <f t="shared" si="23"/>
        <v>350000</v>
      </c>
      <c r="G90" s="50">
        <f t="shared" si="23"/>
        <v>0</v>
      </c>
      <c r="H90" s="50">
        <f t="shared" si="23"/>
        <v>0</v>
      </c>
      <c r="I90" s="50">
        <f t="shared" si="23"/>
        <v>0</v>
      </c>
      <c r="J90" s="24"/>
    </row>
    <row r="91" spans="1:10" ht="28.5" customHeight="1">
      <c r="A91" s="47"/>
      <c r="B91" s="55"/>
      <c r="C91" s="33" t="s">
        <v>97</v>
      </c>
      <c r="D91" s="34">
        <v>0</v>
      </c>
      <c r="E91" s="34">
        <f>SUM(F91:I91)</f>
        <v>314000</v>
      </c>
      <c r="F91" s="34">
        <v>314000</v>
      </c>
      <c r="G91" s="80">
        <v>0</v>
      </c>
      <c r="H91" s="80">
        <v>0</v>
      </c>
      <c r="I91" s="80">
        <v>0</v>
      </c>
      <c r="J91" s="31" t="s">
        <v>15</v>
      </c>
    </row>
    <row r="92" spans="1:10" ht="16.5" customHeight="1">
      <c r="A92" s="66"/>
      <c r="B92" s="66"/>
      <c r="C92" s="46" t="s">
        <v>38</v>
      </c>
      <c r="D92" s="39">
        <v>0</v>
      </c>
      <c r="E92" s="39">
        <f>SUM(F92:I92)</f>
        <v>36000</v>
      </c>
      <c r="F92" s="39">
        <v>36000</v>
      </c>
      <c r="G92" s="39">
        <v>0</v>
      </c>
      <c r="H92" s="39">
        <v>0</v>
      </c>
      <c r="I92" s="39">
        <v>0</v>
      </c>
      <c r="J92" s="100"/>
    </row>
    <row r="93" spans="1:10" s="19" customFormat="1" ht="14.25" customHeight="1">
      <c r="A93" s="15" t="s">
        <v>43</v>
      </c>
      <c r="B93" s="15"/>
      <c r="C93" s="16" t="s">
        <v>61</v>
      </c>
      <c r="D93" s="109">
        <f t="shared" ref="D93:I93" si="24">D94+D96+D101+D103</f>
        <v>150600</v>
      </c>
      <c r="E93" s="109">
        <f t="shared" si="24"/>
        <v>2637000</v>
      </c>
      <c r="F93" s="109">
        <f t="shared" si="24"/>
        <v>2637000</v>
      </c>
      <c r="G93" s="109">
        <f t="shared" si="24"/>
        <v>0</v>
      </c>
      <c r="H93" s="109">
        <f t="shared" si="24"/>
        <v>0</v>
      </c>
      <c r="I93" s="109">
        <f t="shared" si="24"/>
        <v>0</v>
      </c>
      <c r="J93" s="18"/>
    </row>
    <row r="94" spans="1:10" s="25" customFormat="1" ht="15.75" customHeight="1">
      <c r="A94" s="20"/>
      <c r="B94" s="48" t="s">
        <v>45</v>
      </c>
      <c r="C94" s="49" t="s">
        <v>62</v>
      </c>
      <c r="D94" s="50">
        <f t="shared" ref="D94:I94" si="25">SUM(D95)</f>
        <v>0</v>
      </c>
      <c r="E94" s="50">
        <f t="shared" si="25"/>
        <v>30000</v>
      </c>
      <c r="F94" s="50">
        <f t="shared" si="25"/>
        <v>30000</v>
      </c>
      <c r="G94" s="50">
        <f t="shared" si="25"/>
        <v>0</v>
      </c>
      <c r="H94" s="50">
        <f t="shared" si="25"/>
        <v>0</v>
      </c>
      <c r="I94" s="50">
        <f t="shared" si="25"/>
        <v>0</v>
      </c>
      <c r="J94" s="24"/>
    </row>
    <row r="95" spans="1:10" ht="14.25" customHeight="1">
      <c r="A95" s="47"/>
      <c r="B95" s="110"/>
      <c r="C95" s="111" t="s">
        <v>14</v>
      </c>
      <c r="D95" s="69">
        <v>0</v>
      </c>
      <c r="E95" s="68">
        <f>SUM(F95:I95)</f>
        <v>30000</v>
      </c>
      <c r="F95" s="69">
        <v>30000</v>
      </c>
      <c r="G95" s="69">
        <v>0</v>
      </c>
      <c r="H95" s="69">
        <v>0</v>
      </c>
      <c r="I95" s="69">
        <v>0</v>
      </c>
      <c r="J95" s="70" t="s">
        <v>15</v>
      </c>
    </row>
    <row r="96" spans="1:10" s="25" customFormat="1" ht="15.75" customHeight="1">
      <c r="A96" s="47"/>
      <c r="B96" s="61" t="s">
        <v>44</v>
      </c>
      <c r="C96" s="62" t="s">
        <v>63</v>
      </c>
      <c r="D96" s="63">
        <f t="shared" ref="D96:I96" si="26">SUM(D97:D100)</f>
        <v>140000</v>
      </c>
      <c r="E96" s="63">
        <f t="shared" si="26"/>
        <v>2600000</v>
      </c>
      <c r="F96" s="63">
        <f t="shared" si="26"/>
        <v>2600000</v>
      </c>
      <c r="G96" s="63">
        <f t="shared" si="26"/>
        <v>0</v>
      </c>
      <c r="H96" s="63">
        <f t="shared" si="26"/>
        <v>0</v>
      </c>
      <c r="I96" s="63">
        <f t="shared" si="26"/>
        <v>0</v>
      </c>
      <c r="J96" s="112"/>
    </row>
    <row r="97" spans="1:10" ht="38.25">
      <c r="A97" s="47"/>
      <c r="B97" s="55"/>
      <c r="C97" s="28" t="s">
        <v>159</v>
      </c>
      <c r="D97" s="29">
        <v>0</v>
      </c>
      <c r="E97" s="34">
        <f t="shared" ref="E97:E100" si="27">SUM(F97:I97)</f>
        <v>2120000</v>
      </c>
      <c r="F97" s="29">
        <v>2120000</v>
      </c>
      <c r="G97" s="29">
        <v>0</v>
      </c>
      <c r="H97" s="29">
        <v>0</v>
      </c>
      <c r="I97" s="29">
        <v>0</v>
      </c>
      <c r="J97" s="31" t="s">
        <v>15</v>
      </c>
    </row>
    <row r="98" spans="1:10" s="52" customFormat="1" ht="14.25" customHeight="1">
      <c r="A98" s="60"/>
      <c r="B98" s="60"/>
      <c r="C98" s="57" t="s">
        <v>38</v>
      </c>
      <c r="D98" s="113">
        <v>0</v>
      </c>
      <c r="E98" s="113">
        <f t="shared" si="27"/>
        <v>300000</v>
      </c>
      <c r="F98" s="113">
        <f>190000+110000</f>
        <v>300000</v>
      </c>
      <c r="G98" s="113">
        <v>0</v>
      </c>
      <c r="H98" s="113">
        <v>0</v>
      </c>
      <c r="I98" s="113">
        <v>0</v>
      </c>
      <c r="J98" s="35"/>
    </row>
    <row r="99" spans="1:10" s="52" customFormat="1" ht="14.25" customHeight="1">
      <c r="A99" s="60"/>
      <c r="B99" s="60"/>
      <c r="C99" s="57" t="s">
        <v>95</v>
      </c>
      <c r="D99" s="113">
        <v>0</v>
      </c>
      <c r="E99" s="113">
        <f t="shared" si="27"/>
        <v>180000</v>
      </c>
      <c r="F99" s="113">
        <f>90000+90000</f>
        <v>180000</v>
      </c>
      <c r="G99" s="113">
        <v>0</v>
      </c>
      <c r="H99" s="113">
        <v>0</v>
      </c>
      <c r="I99" s="113">
        <v>0</v>
      </c>
      <c r="J99" s="35"/>
    </row>
    <row r="100" spans="1:10" s="52" customFormat="1" ht="14.25" customHeight="1">
      <c r="A100" s="60"/>
      <c r="B100" s="60"/>
      <c r="C100" s="57" t="s">
        <v>74</v>
      </c>
      <c r="D100" s="113">
        <f>80000+60000</f>
        <v>140000</v>
      </c>
      <c r="E100" s="113">
        <f t="shared" si="27"/>
        <v>0</v>
      </c>
      <c r="F100" s="113">
        <v>0</v>
      </c>
      <c r="G100" s="113">
        <v>0</v>
      </c>
      <c r="H100" s="113">
        <v>0</v>
      </c>
      <c r="I100" s="113">
        <v>0</v>
      </c>
      <c r="J100" s="35"/>
    </row>
    <row r="101" spans="1:10" s="25" customFormat="1" ht="15.75" customHeight="1">
      <c r="A101" s="47"/>
      <c r="B101" s="48" t="s">
        <v>98</v>
      </c>
      <c r="C101" s="49" t="s">
        <v>99</v>
      </c>
      <c r="D101" s="50">
        <f t="shared" ref="D101:I101" si="28">SUM(D102)</f>
        <v>0</v>
      </c>
      <c r="E101" s="50">
        <f t="shared" si="28"/>
        <v>7000</v>
      </c>
      <c r="F101" s="50">
        <f t="shared" si="28"/>
        <v>7000</v>
      </c>
      <c r="G101" s="50">
        <f t="shared" si="28"/>
        <v>0</v>
      </c>
      <c r="H101" s="50">
        <f t="shared" si="28"/>
        <v>0</v>
      </c>
      <c r="I101" s="50">
        <f t="shared" si="28"/>
        <v>0</v>
      </c>
      <c r="J101" s="24"/>
    </row>
    <row r="102" spans="1:10" ht="14.25" customHeight="1">
      <c r="A102" s="65"/>
      <c r="B102" s="66"/>
      <c r="C102" s="67" t="s">
        <v>38</v>
      </c>
      <c r="D102" s="68">
        <v>0</v>
      </c>
      <c r="E102" s="114">
        <f>SUM(F102:I102)</f>
        <v>7000</v>
      </c>
      <c r="F102" s="68">
        <v>7000</v>
      </c>
      <c r="G102" s="68">
        <v>0</v>
      </c>
      <c r="H102" s="68">
        <v>0</v>
      </c>
      <c r="I102" s="68">
        <v>0</v>
      </c>
      <c r="J102" s="115" t="s">
        <v>15</v>
      </c>
    </row>
    <row r="103" spans="1:10" s="25" customFormat="1" ht="15.75" customHeight="1">
      <c r="A103" s="47"/>
      <c r="B103" s="48" t="s">
        <v>46</v>
      </c>
      <c r="C103" s="49" t="s">
        <v>58</v>
      </c>
      <c r="D103" s="50">
        <f t="shared" ref="D103:I103" si="29">SUM(D104:D104)</f>
        <v>10600</v>
      </c>
      <c r="E103" s="50">
        <f t="shared" si="29"/>
        <v>0</v>
      </c>
      <c r="F103" s="50">
        <f t="shared" si="29"/>
        <v>0</v>
      </c>
      <c r="G103" s="50">
        <f t="shared" si="29"/>
        <v>0</v>
      </c>
      <c r="H103" s="50">
        <f t="shared" si="29"/>
        <v>0</v>
      </c>
      <c r="I103" s="50">
        <f t="shared" si="29"/>
        <v>0</v>
      </c>
      <c r="J103" s="24"/>
    </row>
    <row r="104" spans="1:10" ht="28.5" customHeight="1">
      <c r="A104" s="66"/>
      <c r="B104" s="66"/>
      <c r="C104" s="116" t="s">
        <v>100</v>
      </c>
      <c r="D104" s="68">
        <v>10600</v>
      </c>
      <c r="E104" s="68">
        <v>0</v>
      </c>
      <c r="F104" s="68">
        <v>0</v>
      </c>
      <c r="G104" s="68">
        <v>0</v>
      </c>
      <c r="H104" s="68">
        <v>0</v>
      </c>
      <c r="I104" s="68">
        <v>0</v>
      </c>
      <c r="J104" s="115" t="s">
        <v>15</v>
      </c>
    </row>
    <row r="105" spans="1:10" s="19" customFormat="1" ht="14.25" customHeight="1">
      <c r="A105" s="15" t="s">
        <v>153</v>
      </c>
      <c r="B105" s="15"/>
      <c r="C105" s="16" t="s">
        <v>155</v>
      </c>
      <c r="D105" s="17">
        <f>D106</f>
        <v>0</v>
      </c>
      <c r="E105" s="17">
        <f t="shared" ref="E105:I105" si="30">E106</f>
        <v>236000</v>
      </c>
      <c r="F105" s="17">
        <f t="shared" si="30"/>
        <v>236000</v>
      </c>
      <c r="G105" s="17">
        <f t="shared" si="30"/>
        <v>0</v>
      </c>
      <c r="H105" s="17">
        <f t="shared" si="30"/>
        <v>0</v>
      </c>
      <c r="I105" s="17">
        <f t="shared" si="30"/>
        <v>0</v>
      </c>
      <c r="J105" s="18"/>
    </row>
    <row r="106" spans="1:10" s="25" customFormat="1" ht="15.75" customHeight="1">
      <c r="A106" s="20"/>
      <c r="B106" s="48" t="s">
        <v>154</v>
      </c>
      <c r="C106" s="76" t="s">
        <v>156</v>
      </c>
      <c r="D106" s="50">
        <f>SUM(D107:D108)</f>
        <v>0</v>
      </c>
      <c r="E106" s="50">
        <f>SUM(E107:E108)</f>
        <v>236000</v>
      </c>
      <c r="F106" s="50">
        <f t="shared" ref="F106:I106" si="31">SUM(F107:F108)</f>
        <v>236000</v>
      </c>
      <c r="G106" s="50">
        <f t="shared" si="31"/>
        <v>0</v>
      </c>
      <c r="H106" s="50">
        <f t="shared" si="31"/>
        <v>0</v>
      </c>
      <c r="I106" s="50">
        <f t="shared" si="31"/>
        <v>0</v>
      </c>
      <c r="J106" s="24"/>
    </row>
    <row r="107" spans="1:10" ht="42" customHeight="1">
      <c r="A107" s="47"/>
      <c r="B107" s="117"/>
      <c r="C107" s="116" t="s">
        <v>157</v>
      </c>
      <c r="D107" s="68">
        <v>0</v>
      </c>
      <c r="E107" s="68">
        <f>SUM(F107:I107)</f>
        <v>66000</v>
      </c>
      <c r="F107" s="68">
        <v>66000</v>
      </c>
      <c r="G107" s="68">
        <v>0</v>
      </c>
      <c r="H107" s="68">
        <v>0</v>
      </c>
      <c r="I107" s="68">
        <v>0</v>
      </c>
      <c r="J107" s="115" t="s">
        <v>117</v>
      </c>
    </row>
    <row r="108" spans="1:10" ht="45" customHeight="1">
      <c r="A108" s="47"/>
      <c r="B108" s="27"/>
      <c r="C108" s="118" t="s">
        <v>158</v>
      </c>
      <c r="D108" s="74">
        <v>0</v>
      </c>
      <c r="E108" s="74">
        <f>SUM(F108:I108)</f>
        <v>170000</v>
      </c>
      <c r="F108" s="74">
        <v>170000</v>
      </c>
      <c r="G108" s="74">
        <v>0</v>
      </c>
      <c r="H108" s="74">
        <v>0</v>
      </c>
      <c r="I108" s="74">
        <v>0</v>
      </c>
      <c r="J108" s="119" t="s">
        <v>120</v>
      </c>
    </row>
    <row r="109" spans="1:10" s="19" customFormat="1" ht="14.25" customHeight="1">
      <c r="A109" s="15" t="s">
        <v>101</v>
      </c>
      <c r="B109" s="15"/>
      <c r="C109" s="16" t="s">
        <v>106</v>
      </c>
      <c r="D109" s="17">
        <f t="shared" ref="D109:I109" si="32">D110+D113+D115+D117</f>
        <v>100100</v>
      </c>
      <c r="E109" s="17">
        <f t="shared" si="32"/>
        <v>189000</v>
      </c>
      <c r="F109" s="17">
        <f t="shared" si="32"/>
        <v>189000</v>
      </c>
      <c r="G109" s="17">
        <f t="shared" si="32"/>
        <v>0</v>
      </c>
      <c r="H109" s="17">
        <f t="shared" si="32"/>
        <v>0</v>
      </c>
      <c r="I109" s="17">
        <f t="shared" si="32"/>
        <v>0</v>
      </c>
      <c r="J109" s="18"/>
    </row>
    <row r="110" spans="1:10" s="25" customFormat="1" ht="15.75" customHeight="1">
      <c r="A110" s="20"/>
      <c r="B110" s="48" t="s">
        <v>102</v>
      </c>
      <c r="C110" s="76" t="s">
        <v>107</v>
      </c>
      <c r="D110" s="50">
        <f>SUM(D111:D112)</f>
        <v>100</v>
      </c>
      <c r="E110" s="50">
        <f t="shared" ref="E110:I110" si="33">SUM(E111:E112)</f>
        <v>100000</v>
      </c>
      <c r="F110" s="50">
        <f t="shared" si="33"/>
        <v>100000</v>
      </c>
      <c r="G110" s="50">
        <f t="shared" si="33"/>
        <v>0</v>
      </c>
      <c r="H110" s="50">
        <f t="shared" si="33"/>
        <v>0</v>
      </c>
      <c r="I110" s="50">
        <f t="shared" si="33"/>
        <v>0</v>
      </c>
      <c r="J110" s="24"/>
    </row>
    <row r="111" spans="1:10" ht="21" customHeight="1">
      <c r="A111" s="47"/>
      <c r="B111" s="117"/>
      <c r="C111" s="67" t="s">
        <v>108</v>
      </c>
      <c r="D111" s="68">
        <v>0</v>
      </c>
      <c r="E111" s="68">
        <f>SUM(F111:I111)</f>
        <v>100000</v>
      </c>
      <c r="F111" s="68">
        <v>100000</v>
      </c>
      <c r="G111" s="68">
        <v>0</v>
      </c>
      <c r="H111" s="68">
        <v>0</v>
      </c>
      <c r="I111" s="68">
        <v>0</v>
      </c>
      <c r="J111" s="31" t="s">
        <v>112</v>
      </c>
    </row>
    <row r="112" spans="1:10" ht="41.25" customHeight="1">
      <c r="A112" s="47"/>
      <c r="B112" s="120"/>
      <c r="C112" s="67" t="s">
        <v>147</v>
      </c>
      <c r="D112" s="68">
        <v>100</v>
      </c>
      <c r="E112" s="68">
        <f>SUM(F112:I112)</f>
        <v>0</v>
      </c>
      <c r="F112" s="68">
        <v>0</v>
      </c>
      <c r="G112" s="68">
        <v>0</v>
      </c>
      <c r="H112" s="68">
        <v>0</v>
      </c>
      <c r="I112" s="68">
        <v>0</v>
      </c>
      <c r="J112" s="41"/>
    </row>
    <row r="113" spans="1:10" s="25" customFormat="1" ht="15.75" customHeight="1">
      <c r="A113" s="47"/>
      <c r="B113" s="48" t="s">
        <v>103</v>
      </c>
      <c r="C113" s="49" t="s">
        <v>109</v>
      </c>
      <c r="D113" s="50">
        <f t="shared" ref="D113:I113" si="34">SUM(D114:D114)</f>
        <v>0</v>
      </c>
      <c r="E113" s="50">
        <f t="shared" si="34"/>
        <v>14000</v>
      </c>
      <c r="F113" s="50">
        <f t="shared" si="34"/>
        <v>14000</v>
      </c>
      <c r="G113" s="50">
        <f t="shared" si="34"/>
        <v>0</v>
      </c>
      <c r="H113" s="50">
        <f t="shared" si="34"/>
        <v>0</v>
      </c>
      <c r="I113" s="50">
        <f t="shared" si="34"/>
        <v>0</v>
      </c>
      <c r="J113" s="24"/>
    </row>
    <row r="114" spans="1:10" s="52" customFormat="1" ht="18.75" customHeight="1">
      <c r="A114" s="121"/>
      <c r="B114" s="121"/>
      <c r="C114" s="122" t="s">
        <v>110</v>
      </c>
      <c r="D114" s="102">
        <f>10800+1200-10800-1200</f>
        <v>0</v>
      </c>
      <c r="E114" s="103">
        <f>SUM(F114:I114)</f>
        <v>14000</v>
      </c>
      <c r="F114" s="103">
        <v>14000</v>
      </c>
      <c r="G114" s="103">
        <v>0</v>
      </c>
      <c r="H114" s="103">
        <v>0</v>
      </c>
      <c r="I114" s="103">
        <v>0</v>
      </c>
      <c r="J114" s="115" t="s">
        <v>111</v>
      </c>
    </row>
    <row r="115" spans="1:10" s="52" customFormat="1" ht="16.5" customHeight="1">
      <c r="A115" s="47"/>
      <c r="B115" s="61" t="s">
        <v>104</v>
      </c>
      <c r="C115" s="62" t="s">
        <v>113</v>
      </c>
      <c r="D115" s="63">
        <f t="shared" ref="D115" si="35">SUM(D116)</f>
        <v>0</v>
      </c>
      <c r="E115" s="63">
        <f t="shared" ref="E115" si="36">SUM(E116)</f>
        <v>75000</v>
      </c>
      <c r="F115" s="63">
        <f t="shared" ref="F115" si="37">SUM(F116)</f>
        <v>75000</v>
      </c>
      <c r="G115" s="63">
        <f t="shared" ref="G115" si="38">SUM(G116)</f>
        <v>0</v>
      </c>
      <c r="H115" s="63">
        <f t="shared" ref="H115" si="39">SUM(H116)</f>
        <v>0</v>
      </c>
      <c r="I115" s="63">
        <f t="shared" ref="I115" si="40">SUM(I116)</f>
        <v>0</v>
      </c>
      <c r="J115" s="112"/>
    </row>
    <row r="116" spans="1:10" s="32" customFormat="1" ht="44.25" customHeight="1">
      <c r="A116" s="26"/>
      <c r="B116" s="123"/>
      <c r="C116" s="67" t="s">
        <v>114</v>
      </c>
      <c r="D116" s="68">
        <v>0</v>
      </c>
      <c r="E116" s="74">
        <f>SUM(F116:I116)</f>
        <v>75000</v>
      </c>
      <c r="F116" s="68">
        <f>90000-15000</f>
        <v>75000</v>
      </c>
      <c r="G116" s="68">
        <v>0</v>
      </c>
      <c r="H116" s="68">
        <v>0</v>
      </c>
      <c r="I116" s="68">
        <v>0</v>
      </c>
      <c r="J116" s="115" t="s">
        <v>115</v>
      </c>
    </row>
    <row r="117" spans="1:10" s="52" customFormat="1" ht="16.5" customHeight="1">
      <c r="A117" s="47"/>
      <c r="B117" s="61" t="s">
        <v>105</v>
      </c>
      <c r="C117" s="62" t="s">
        <v>116</v>
      </c>
      <c r="D117" s="63">
        <f t="shared" ref="D117" si="41">SUM(D118)</f>
        <v>100000</v>
      </c>
      <c r="E117" s="63">
        <f t="shared" ref="E117" si="42">SUM(E118)</f>
        <v>0</v>
      </c>
      <c r="F117" s="63">
        <f t="shared" ref="F117" si="43">SUM(F118)</f>
        <v>0</v>
      </c>
      <c r="G117" s="63">
        <f t="shared" ref="G117" si="44">SUM(G118)</f>
        <v>0</v>
      </c>
      <c r="H117" s="63">
        <f t="shared" ref="H117" si="45">SUM(H118)</f>
        <v>0</v>
      </c>
      <c r="I117" s="63">
        <f t="shared" ref="I117" si="46">SUM(I118)</f>
        <v>0</v>
      </c>
      <c r="J117" s="112"/>
    </row>
    <row r="118" spans="1:10" ht="54.75" customHeight="1">
      <c r="A118" s="65"/>
      <c r="B118" s="66"/>
      <c r="C118" s="67" t="s">
        <v>140</v>
      </c>
      <c r="D118" s="68">
        <v>100000</v>
      </c>
      <c r="E118" s="74">
        <f>SUM(F118:I118)</f>
        <v>0</v>
      </c>
      <c r="F118" s="68">
        <v>0</v>
      </c>
      <c r="G118" s="68">
        <v>0</v>
      </c>
      <c r="H118" s="68">
        <v>0</v>
      </c>
      <c r="I118" s="68">
        <v>0</v>
      </c>
      <c r="J118" s="115" t="s">
        <v>135</v>
      </c>
    </row>
    <row r="119" spans="1:10" s="19" customFormat="1" ht="14.25" customHeight="1">
      <c r="A119" s="15" t="s">
        <v>47</v>
      </c>
      <c r="B119" s="15"/>
      <c r="C119" s="16" t="s">
        <v>64</v>
      </c>
      <c r="D119" s="17">
        <f>D120+D122</f>
        <v>145100</v>
      </c>
      <c r="E119" s="17">
        <f t="shared" ref="E119:I119" si="47">E120+E122</f>
        <v>0</v>
      </c>
      <c r="F119" s="17">
        <f>F120+F122</f>
        <v>0</v>
      </c>
      <c r="G119" s="17">
        <f t="shared" si="47"/>
        <v>0</v>
      </c>
      <c r="H119" s="17">
        <f t="shared" si="47"/>
        <v>0</v>
      </c>
      <c r="I119" s="17">
        <f t="shared" si="47"/>
        <v>0</v>
      </c>
      <c r="J119" s="18"/>
    </row>
    <row r="120" spans="1:10" s="25" customFormat="1" ht="15.75" customHeight="1">
      <c r="A120" s="20"/>
      <c r="B120" s="48" t="s">
        <v>48</v>
      </c>
      <c r="C120" s="49" t="s">
        <v>65</v>
      </c>
      <c r="D120" s="50">
        <f t="shared" ref="D120:I122" si="48">SUM(D121:D121)</f>
        <v>125100</v>
      </c>
      <c r="E120" s="50">
        <f t="shared" si="48"/>
        <v>0</v>
      </c>
      <c r="F120" s="50">
        <f t="shared" si="48"/>
        <v>0</v>
      </c>
      <c r="G120" s="50">
        <f t="shared" si="48"/>
        <v>0</v>
      </c>
      <c r="H120" s="50">
        <f t="shared" si="48"/>
        <v>0</v>
      </c>
      <c r="I120" s="50">
        <f t="shared" si="48"/>
        <v>0</v>
      </c>
      <c r="J120" s="24"/>
    </row>
    <row r="121" spans="1:10" s="52" customFormat="1" ht="29.25" customHeight="1">
      <c r="A121" s="60"/>
      <c r="B121" s="121"/>
      <c r="C121" s="116" t="s">
        <v>83</v>
      </c>
      <c r="D121" s="68">
        <v>125100</v>
      </c>
      <c r="E121" s="68">
        <f>SUM(F121:I121)</f>
        <v>0</v>
      </c>
      <c r="F121" s="68">
        <v>0</v>
      </c>
      <c r="G121" s="68">
        <v>0</v>
      </c>
      <c r="H121" s="68">
        <v>0</v>
      </c>
      <c r="I121" s="68">
        <v>0</v>
      </c>
      <c r="J121" s="124" t="s">
        <v>84</v>
      </c>
    </row>
    <row r="122" spans="1:10" s="25" customFormat="1" ht="15.75" customHeight="1">
      <c r="A122" s="47"/>
      <c r="B122" s="48" t="s">
        <v>165</v>
      </c>
      <c r="C122" s="49" t="s">
        <v>58</v>
      </c>
      <c r="D122" s="50">
        <f t="shared" si="48"/>
        <v>20000</v>
      </c>
      <c r="E122" s="50">
        <f t="shared" si="48"/>
        <v>0</v>
      </c>
      <c r="F122" s="50">
        <f t="shared" si="48"/>
        <v>0</v>
      </c>
      <c r="G122" s="50">
        <f t="shared" si="48"/>
        <v>0</v>
      </c>
      <c r="H122" s="50">
        <f t="shared" si="48"/>
        <v>0</v>
      </c>
      <c r="I122" s="50">
        <f t="shared" si="48"/>
        <v>0</v>
      </c>
      <c r="J122" s="24"/>
    </row>
    <row r="123" spans="1:10" s="52" customFormat="1" ht="29.25" customHeight="1">
      <c r="A123" s="121"/>
      <c r="B123" s="59"/>
      <c r="C123" s="116" t="s">
        <v>166</v>
      </c>
      <c r="D123" s="68">
        <v>20000</v>
      </c>
      <c r="E123" s="68">
        <f>SUM(F123:I123)</f>
        <v>0</v>
      </c>
      <c r="F123" s="68">
        <v>0</v>
      </c>
      <c r="G123" s="68">
        <v>0</v>
      </c>
      <c r="H123" s="68">
        <v>0</v>
      </c>
      <c r="I123" s="68">
        <v>0</v>
      </c>
      <c r="J123" s="115" t="s">
        <v>15</v>
      </c>
    </row>
    <row r="124" spans="1:10" s="19" customFormat="1" ht="28.5" customHeight="1">
      <c r="A124" s="125" t="s">
        <v>49</v>
      </c>
      <c r="B124" s="15"/>
      <c r="C124" s="16" t="s">
        <v>142</v>
      </c>
      <c r="D124" s="17">
        <f t="shared" ref="D124:I124" si="49">D125</f>
        <v>1103226</v>
      </c>
      <c r="E124" s="17">
        <f t="shared" si="49"/>
        <v>60000</v>
      </c>
      <c r="F124" s="17">
        <f t="shared" si="49"/>
        <v>60000</v>
      </c>
      <c r="G124" s="17">
        <f t="shared" si="49"/>
        <v>0</v>
      </c>
      <c r="H124" s="17">
        <f t="shared" si="49"/>
        <v>0</v>
      </c>
      <c r="I124" s="17">
        <f t="shared" si="49"/>
        <v>0</v>
      </c>
      <c r="J124" s="18"/>
    </row>
    <row r="125" spans="1:10" s="25" customFormat="1" ht="15.75" customHeight="1">
      <c r="A125" s="47"/>
      <c r="B125" s="48" t="s">
        <v>50</v>
      </c>
      <c r="C125" s="49" t="s">
        <v>66</v>
      </c>
      <c r="D125" s="50">
        <f>SUM(D126:D132)</f>
        <v>1103226</v>
      </c>
      <c r="E125" s="50">
        <f>SUM(E126:E132)</f>
        <v>60000</v>
      </c>
      <c r="F125" s="50">
        <f t="shared" ref="F125:I125" si="50">SUM(F126:F132)</f>
        <v>60000</v>
      </c>
      <c r="G125" s="50">
        <f t="shared" si="50"/>
        <v>0</v>
      </c>
      <c r="H125" s="50">
        <f t="shared" si="50"/>
        <v>0</v>
      </c>
      <c r="I125" s="50">
        <f t="shared" si="50"/>
        <v>0</v>
      </c>
      <c r="J125" s="24"/>
    </row>
    <row r="126" spans="1:10" s="54" customFormat="1" ht="53.25" customHeight="1">
      <c r="A126" s="26"/>
      <c r="B126" s="126"/>
      <c r="C126" s="127" t="s">
        <v>136</v>
      </c>
      <c r="D126" s="68">
        <v>315743</v>
      </c>
      <c r="E126" s="69">
        <f t="shared" ref="E126:E132" si="51">SUM(F126:I126)</f>
        <v>0</v>
      </c>
      <c r="F126" s="69">
        <v>0</v>
      </c>
      <c r="G126" s="69">
        <v>0</v>
      </c>
      <c r="H126" s="69">
        <v>0</v>
      </c>
      <c r="I126" s="69">
        <v>0</v>
      </c>
      <c r="J126" s="119" t="s">
        <v>127</v>
      </c>
    </row>
    <row r="127" spans="1:10" s="54" customFormat="1" ht="41.25" customHeight="1">
      <c r="A127" s="26"/>
      <c r="B127" s="126"/>
      <c r="C127" s="116" t="s">
        <v>136</v>
      </c>
      <c r="D127" s="68">
        <v>179000</v>
      </c>
      <c r="E127" s="69">
        <f t="shared" si="51"/>
        <v>0</v>
      </c>
      <c r="F127" s="69">
        <v>0</v>
      </c>
      <c r="G127" s="69">
        <v>0</v>
      </c>
      <c r="H127" s="69">
        <v>0</v>
      </c>
      <c r="I127" s="69">
        <v>0</v>
      </c>
      <c r="J127" s="119" t="s">
        <v>128</v>
      </c>
    </row>
    <row r="128" spans="1:10" ht="39.75" customHeight="1">
      <c r="A128" s="128"/>
      <c r="B128" s="128"/>
      <c r="C128" s="67" t="s">
        <v>136</v>
      </c>
      <c r="D128" s="68">
        <v>48800</v>
      </c>
      <c r="E128" s="68">
        <f t="shared" si="51"/>
        <v>0</v>
      </c>
      <c r="F128" s="68">
        <v>0</v>
      </c>
      <c r="G128" s="68">
        <v>0</v>
      </c>
      <c r="H128" s="68">
        <v>0</v>
      </c>
      <c r="I128" s="68">
        <v>0</v>
      </c>
      <c r="J128" s="70" t="s">
        <v>85</v>
      </c>
    </row>
    <row r="129" spans="1:10" ht="39.75" customHeight="1">
      <c r="A129" s="65"/>
      <c r="B129" s="65"/>
      <c r="C129" s="129" t="s">
        <v>136</v>
      </c>
      <c r="D129" s="74">
        <v>165772</v>
      </c>
      <c r="E129" s="74">
        <f t="shared" si="51"/>
        <v>0</v>
      </c>
      <c r="F129" s="74">
        <v>0</v>
      </c>
      <c r="G129" s="74">
        <v>0</v>
      </c>
      <c r="H129" s="74">
        <v>0</v>
      </c>
      <c r="I129" s="74">
        <v>0</v>
      </c>
      <c r="J129" s="14" t="s">
        <v>126</v>
      </c>
    </row>
    <row r="130" spans="1:10" ht="39.75" customHeight="1">
      <c r="A130" s="65"/>
      <c r="B130" s="65"/>
      <c r="C130" s="56" t="s">
        <v>136</v>
      </c>
      <c r="D130" s="43">
        <v>393911</v>
      </c>
      <c r="E130" s="43">
        <f t="shared" si="51"/>
        <v>0</v>
      </c>
      <c r="F130" s="43">
        <v>0</v>
      </c>
      <c r="G130" s="43">
        <v>0</v>
      </c>
      <c r="H130" s="43">
        <v>0</v>
      </c>
      <c r="I130" s="43">
        <v>0</v>
      </c>
      <c r="J130" s="35" t="s">
        <v>124</v>
      </c>
    </row>
    <row r="131" spans="1:10" ht="27.75" customHeight="1">
      <c r="A131" s="65"/>
      <c r="B131" s="65"/>
      <c r="C131" s="33" t="s">
        <v>125</v>
      </c>
      <c r="D131" s="34">
        <v>0</v>
      </c>
      <c r="E131" s="34">
        <f t="shared" si="51"/>
        <v>40000</v>
      </c>
      <c r="F131" s="34">
        <v>40000</v>
      </c>
      <c r="G131" s="34">
        <v>0</v>
      </c>
      <c r="H131" s="34">
        <v>0</v>
      </c>
      <c r="I131" s="34">
        <v>0</v>
      </c>
      <c r="J131" s="35"/>
    </row>
    <row r="132" spans="1:10" ht="26.25" customHeight="1">
      <c r="A132" s="65"/>
      <c r="B132" s="65"/>
      <c r="C132" s="46" t="s">
        <v>141</v>
      </c>
      <c r="D132" s="39">
        <v>0</v>
      </c>
      <c r="E132" s="39">
        <f t="shared" si="51"/>
        <v>20000</v>
      </c>
      <c r="F132" s="39">
        <v>20000</v>
      </c>
      <c r="G132" s="39">
        <v>0</v>
      </c>
      <c r="H132" s="39">
        <v>0</v>
      </c>
      <c r="I132" s="39">
        <v>0</v>
      </c>
      <c r="J132" s="100"/>
    </row>
    <row r="133" spans="1:10" s="19" customFormat="1" ht="18" customHeight="1">
      <c r="A133" s="130" t="s">
        <v>82</v>
      </c>
      <c r="B133" s="131"/>
      <c r="C133" s="132"/>
      <c r="D133" s="17">
        <f t="shared" ref="D133:I133" si="52">SUM(D16+D36+D39+D86+D89+D93+D109+D119+D124+D105)</f>
        <v>769065361</v>
      </c>
      <c r="E133" s="17">
        <f t="shared" si="52"/>
        <v>11066472</v>
      </c>
      <c r="F133" s="17">
        <f t="shared" si="52"/>
        <v>9751500</v>
      </c>
      <c r="G133" s="17">
        <f t="shared" si="52"/>
        <v>800000</v>
      </c>
      <c r="H133" s="17">
        <f t="shared" si="52"/>
        <v>514972</v>
      </c>
      <c r="I133" s="17">
        <f t="shared" si="52"/>
        <v>0</v>
      </c>
      <c r="J133" s="18"/>
    </row>
    <row r="134" spans="1:10">
      <c r="D134" s="133"/>
    </row>
    <row r="135" spans="1:10">
      <c r="C135" s="134"/>
      <c r="D135" s="133"/>
      <c r="E135" s="135"/>
      <c r="F135" s="135"/>
      <c r="G135" s="135"/>
      <c r="H135" s="135"/>
      <c r="I135" s="135"/>
    </row>
    <row r="136" spans="1:10">
      <c r="C136" s="134"/>
      <c r="D136" s="133"/>
      <c r="E136" s="135"/>
    </row>
    <row r="138" spans="1:10">
      <c r="D138" s="136"/>
      <c r="E138" s="136"/>
    </row>
    <row r="140" spans="1:10">
      <c r="C140" s="137"/>
      <c r="D140" s="138"/>
      <c r="E140" s="138"/>
      <c r="F140" s="138"/>
      <c r="G140" s="138"/>
      <c r="H140" s="138"/>
      <c r="I140" s="138"/>
    </row>
    <row r="141" spans="1:10">
      <c r="C141" s="137"/>
      <c r="D141" s="138"/>
    </row>
    <row r="142" spans="1:10">
      <c r="C142" s="137"/>
      <c r="D142" s="138"/>
    </row>
  </sheetData>
  <mergeCells count="23">
    <mergeCell ref="J22:J25"/>
    <mergeCell ref="J29:J31"/>
    <mergeCell ref="J41:J42"/>
    <mergeCell ref="J18:J21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A133:C133"/>
    <mergeCell ref="J27:J28"/>
    <mergeCell ref="J97:J100"/>
    <mergeCell ref="J84:J85"/>
    <mergeCell ref="J130:J132"/>
    <mergeCell ref="J91:J92"/>
    <mergeCell ref="J111:J112"/>
    <mergeCell ref="J78:J80"/>
    <mergeCell ref="J44:J62"/>
    <mergeCell ref="J63:J76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53" orientation="portrait" r:id="rId1"/>
  <headerFooter alignWithMargins="0">
    <oddFooter>Strona &amp;P z &amp;N</oddFooter>
  </headerFooter>
  <rowBreaks count="1" manualBreakCount="1"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2013-08-07T09:09:01Z</cp:lastPrinted>
  <dcterms:created xsi:type="dcterms:W3CDTF">2010-11-24T14:24:05Z</dcterms:created>
  <dcterms:modified xsi:type="dcterms:W3CDTF">2013-08-19T08:11:01Z</dcterms:modified>
</cp:coreProperties>
</file>