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05" windowWidth="19020" windowHeight="12810"/>
  </bookViews>
  <sheets>
    <sheet name="Arkusz1" sheetId="1" r:id="rId1"/>
  </sheets>
  <definedNames>
    <definedName name="_xlnm.Print_Area" localSheetId="0">Arkusz1!$A$1:$P$134</definedName>
    <definedName name="_xlnm.Print_Titles" localSheetId="0">Arkusz1!$6:$8</definedName>
  </definedNames>
  <calcPr calcId="144525"/>
</workbook>
</file>

<file path=xl/calcChain.xml><?xml version="1.0" encoding="utf-8"?>
<calcChain xmlns="http://schemas.openxmlformats.org/spreadsheetml/2006/main">
  <c r="L81" i="1"/>
  <c r="J44"/>
  <c r="L42" l="1"/>
  <c r="K19" l="1"/>
  <c r="K22"/>
  <c r="J67" l="1"/>
  <c r="J65"/>
  <c r="J64"/>
  <c r="J63"/>
  <c r="J62"/>
  <c r="J61"/>
  <c r="J57"/>
  <c r="J56"/>
  <c r="J55"/>
  <c r="J50"/>
  <c r="J48"/>
  <c r="J47"/>
  <c r="J39"/>
  <c r="K133" l="1"/>
  <c r="K132"/>
  <c r="L129"/>
  <c r="L128" s="1"/>
  <c r="K130"/>
  <c r="J130"/>
  <c r="O129"/>
  <c r="O128" s="1"/>
  <c r="N129"/>
  <c r="N128" s="1"/>
  <c r="M129"/>
  <c r="M128" s="1"/>
  <c r="J129"/>
  <c r="J128" s="1"/>
  <c r="K127"/>
  <c r="K126" s="1"/>
  <c r="K125" s="1"/>
  <c r="O126"/>
  <c r="O125" s="1"/>
  <c r="N126"/>
  <c r="M126"/>
  <c r="L126"/>
  <c r="L125" s="1"/>
  <c r="J126"/>
  <c r="J125" s="1"/>
  <c r="N125"/>
  <c r="M125"/>
  <c r="K120"/>
  <c r="K119" s="1"/>
  <c r="K118" s="1"/>
  <c r="O119"/>
  <c r="O118" s="1"/>
  <c r="N119"/>
  <c r="M119"/>
  <c r="M118" s="1"/>
  <c r="L119"/>
  <c r="L118" s="1"/>
  <c r="J119"/>
  <c r="J118" s="1"/>
  <c r="N118"/>
  <c r="K124"/>
  <c r="K123"/>
  <c r="J123"/>
  <c r="J122" s="1"/>
  <c r="J121" s="1"/>
  <c r="O122"/>
  <c r="O121" s="1"/>
  <c r="N122"/>
  <c r="N121" s="1"/>
  <c r="M122"/>
  <c r="M121" s="1"/>
  <c r="L122"/>
  <c r="L121" s="1"/>
  <c r="K117"/>
  <c r="K116"/>
  <c r="K115"/>
  <c r="O114"/>
  <c r="O113" s="1"/>
  <c r="N114"/>
  <c r="M114"/>
  <c r="L114"/>
  <c r="L113" s="1"/>
  <c r="J114"/>
  <c r="J113" s="1"/>
  <c r="N113"/>
  <c r="M113"/>
  <c r="K112"/>
  <c r="K110" s="1"/>
  <c r="J112"/>
  <c r="J111"/>
  <c r="O110"/>
  <c r="N110"/>
  <c r="N101" s="1"/>
  <c r="M110"/>
  <c r="L110"/>
  <c r="K109"/>
  <c r="K108"/>
  <c r="K107"/>
  <c r="K106"/>
  <c r="K105"/>
  <c r="J105"/>
  <c r="J104" s="1"/>
  <c r="O104"/>
  <c r="N104"/>
  <c r="M104"/>
  <c r="L104"/>
  <c r="K103"/>
  <c r="K102" s="1"/>
  <c r="O102"/>
  <c r="N102"/>
  <c r="M102"/>
  <c r="L102"/>
  <c r="J102"/>
  <c r="L98"/>
  <c r="L97" s="1"/>
  <c r="K100"/>
  <c r="K99"/>
  <c r="O98"/>
  <c r="O97" s="1"/>
  <c r="N98"/>
  <c r="N97" s="1"/>
  <c r="M98"/>
  <c r="M97" s="1"/>
  <c r="J98"/>
  <c r="J97" s="1"/>
  <c r="K96"/>
  <c r="L93"/>
  <c r="L92" s="1"/>
  <c r="K95"/>
  <c r="K94"/>
  <c r="O93"/>
  <c r="O92" s="1"/>
  <c r="N93"/>
  <c r="N92" s="1"/>
  <c r="M93"/>
  <c r="M92" s="1"/>
  <c r="J93"/>
  <c r="J92" s="1"/>
  <c r="J90"/>
  <c r="J89" s="1"/>
  <c r="O90"/>
  <c r="O89" s="1"/>
  <c r="N90"/>
  <c r="M90"/>
  <c r="L90"/>
  <c r="L89" s="1"/>
  <c r="K90"/>
  <c r="K89" s="1"/>
  <c r="N89"/>
  <c r="M89"/>
  <c r="K88"/>
  <c r="K87"/>
  <c r="K86"/>
  <c r="O85"/>
  <c r="N85"/>
  <c r="M85"/>
  <c r="L85"/>
  <c r="J85"/>
  <c r="K84"/>
  <c r="K83" s="1"/>
  <c r="O83"/>
  <c r="N83"/>
  <c r="M83"/>
  <c r="L83"/>
  <c r="J83"/>
  <c r="K82"/>
  <c r="K81"/>
  <c r="K80"/>
  <c r="K79"/>
  <c r="K78"/>
  <c r="K77"/>
  <c r="K76"/>
  <c r="K75"/>
  <c r="K74"/>
  <c r="K73"/>
  <c r="K72"/>
  <c r="K71"/>
  <c r="O70"/>
  <c r="N70"/>
  <c r="M70"/>
  <c r="J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6"/>
  <c r="J46"/>
  <c r="K45"/>
  <c r="K44"/>
  <c r="K43"/>
  <c r="K42"/>
  <c r="K41"/>
  <c r="K40"/>
  <c r="J40"/>
  <c r="J38" s="1"/>
  <c r="K39"/>
  <c r="O38"/>
  <c r="N38"/>
  <c r="L38"/>
  <c r="K37"/>
  <c r="K36"/>
  <c r="K34" s="1"/>
  <c r="K35"/>
  <c r="O34"/>
  <c r="N34"/>
  <c r="M34"/>
  <c r="L34"/>
  <c r="J34"/>
  <c r="K32"/>
  <c r="K31" s="1"/>
  <c r="K30" s="1"/>
  <c r="J31"/>
  <c r="J30" s="1"/>
  <c r="O31"/>
  <c r="N31"/>
  <c r="M31"/>
  <c r="M30" s="1"/>
  <c r="L31"/>
  <c r="L30" s="1"/>
  <c r="O30"/>
  <c r="N30"/>
  <c r="K29"/>
  <c r="K28" s="1"/>
  <c r="O28"/>
  <c r="N28"/>
  <c r="M28"/>
  <c r="L28"/>
  <c r="J28"/>
  <c r="K27"/>
  <c r="K26" s="1"/>
  <c r="O26"/>
  <c r="N26"/>
  <c r="M26"/>
  <c r="L26"/>
  <c r="J26"/>
  <c r="K25"/>
  <c r="K24" s="1"/>
  <c r="O24"/>
  <c r="N24"/>
  <c r="M24"/>
  <c r="L24"/>
  <c r="J24"/>
  <c r="K23"/>
  <c r="K21"/>
  <c r="K20"/>
  <c r="O18"/>
  <c r="N18"/>
  <c r="M18"/>
  <c r="L18"/>
  <c r="J18"/>
  <c r="K17"/>
  <c r="K16"/>
  <c r="K15"/>
  <c r="K14"/>
  <c r="J14"/>
  <c r="K13"/>
  <c r="J13"/>
  <c r="J10" s="1"/>
  <c r="K12"/>
  <c r="K11"/>
  <c r="O10"/>
  <c r="N10"/>
  <c r="M10"/>
  <c r="K70" l="1"/>
  <c r="K38" s="1"/>
  <c r="J110"/>
  <c r="J101" s="1"/>
  <c r="K98"/>
  <c r="K97" s="1"/>
  <c r="K114"/>
  <c r="K113" s="1"/>
  <c r="N9"/>
  <c r="M38"/>
  <c r="M33" s="1"/>
  <c r="J33"/>
  <c r="O101"/>
  <c r="K93"/>
  <c r="K92" s="1"/>
  <c r="M9"/>
  <c r="O33"/>
  <c r="O9"/>
  <c r="N33"/>
  <c r="N134" s="1"/>
  <c r="L33"/>
  <c r="K85"/>
  <c r="K122"/>
  <c r="K121" s="1"/>
  <c r="M101"/>
  <c r="K104"/>
  <c r="K101" s="1"/>
  <c r="L101"/>
  <c r="K18"/>
  <c r="K10"/>
  <c r="J9"/>
  <c r="K131"/>
  <c r="K129" s="1"/>
  <c r="K128" s="1"/>
  <c r="L10"/>
  <c r="L9" s="1"/>
  <c r="D21"/>
  <c r="K33" l="1"/>
  <c r="O134"/>
  <c r="K9"/>
  <c r="K134" s="1"/>
  <c r="J134"/>
  <c r="M134"/>
  <c r="L134"/>
  <c r="D20"/>
  <c r="D111" l="1"/>
  <c r="D84" l="1"/>
  <c r="F81" l="1"/>
  <c r="F42"/>
  <c r="D49"/>
  <c r="D60"/>
  <c r="D56"/>
  <c r="D55"/>
  <c r="D51"/>
  <c r="D50"/>
  <c r="D62"/>
  <c r="D61"/>
  <c r="D64"/>
  <c r="D48"/>
  <c r="D65"/>
  <c r="D86" l="1"/>
  <c r="E82"/>
  <c r="F76"/>
  <c r="F74"/>
  <c r="F75"/>
  <c r="D67"/>
  <c r="D44"/>
  <c r="D41"/>
  <c r="D40"/>
  <c r="D39"/>
  <c r="D54"/>
  <c r="D91"/>
  <c r="D66" l="1"/>
  <c r="D59"/>
  <c r="D58"/>
  <c r="D57"/>
  <c r="D53"/>
  <c r="D52"/>
  <c r="D47"/>
  <c r="F73"/>
  <c r="F72"/>
  <c r="F78"/>
  <c r="F43"/>
  <c r="F46"/>
  <c r="D45"/>
  <c r="G93"/>
  <c r="H93"/>
  <c r="I93"/>
  <c r="D93"/>
  <c r="E96"/>
  <c r="F95"/>
  <c r="F93" s="1"/>
  <c r="F27" l="1"/>
  <c r="D105"/>
  <c r="F105"/>
  <c r="E105" s="1"/>
  <c r="F114"/>
  <c r="F113" s="1"/>
  <c r="G114"/>
  <c r="H114"/>
  <c r="H113" s="1"/>
  <c r="I114"/>
  <c r="I113" s="1"/>
  <c r="D114"/>
  <c r="D113" s="1"/>
  <c r="E116"/>
  <c r="E117"/>
  <c r="E115"/>
  <c r="G113"/>
  <c r="D63"/>
  <c r="F80"/>
  <c r="E73"/>
  <c r="F79"/>
  <c r="F68"/>
  <c r="F69"/>
  <c r="D88"/>
  <c r="D123"/>
  <c r="E90"/>
  <c r="E89" s="1"/>
  <c r="I90"/>
  <c r="I89" s="1"/>
  <c r="H90"/>
  <c r="H89" s="1"/>
  <c r="G90"/>
  <c r="G89" s="1"/>
  <c r="F90"/>
  <c r="F89" s="1"/>
  <c r="D90"/>
  <c r="D89" s="1"/>
  <c r="F14"/>
  <c r="F11"/>
  <c r="F104" l="1"/>
  <c r="E114"/>
  <c r="E113" s="1"/>
  <c r="F100"/>
  <c r="E81"/>
  <c r="E80"/>
  <c r="E79"/>
  <c r="G104"/>
  <c r="H104"/>
  <c r="I104"/>
  <c r="E109"/>
  <c r="E72"/>
  <c r="E74"/>
  <c r="E75"/>
  <c r="E76"/>
  <c r="E77"/>
  <c r="E78"/>
  <c r="E14"/>
  <c r="D14"/>
  <c r="E132"/>
  <c r="E120"/>
  <c r="E119" s="1"/>
  <c r="E118" s="1"/>
  <c r="I119"/>
  <c r="I118" s="1"/>
  <c r="H119"/>
  <c r="H118" s="1"/>
  <c r="G119"/>
  <c r="G118" s="1"/>
  <c r="F119"/>
  <c r="F118" s="1"/>
  <c r="D119"/>
  <c r="D118" s="1"/>
  <c r="F131"/>
  <c r="D32"/>
  <c r="F122"/>
  <c r="G122"/>
  <c r="H122"/>
  <c r="I122"/>
  <c r="D124" l="1"/>
  <c r="E124"/>
  <c r="D87"/>
  <c r="E43"/>
  <c r="E44"/>
  <c r="E45"/>
  <c r="E46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9"/>
  <c r="E39"/>
  <c r="E40"/>
  <c r="E41"/>
  <c r="D46"/>
  <c r="F28"/>
  <c r="G28"/>
  <c r="H28"/>
  <c r="I28"/>
  <c r="E29"/>
  <c r="E28" s="1"/>
  <c r="D28"/>
  <c r="E100"/>
  <c r="E99"/>
  <c r="I98"/>
  <c r="I97" s="1"/>
  <c r="H98"/>
  <c r="H97" s="1"/>
  <c r="G98"/>
  <c r="G97" s="1"/>
  <c r="F98"/>
  <c r="F97" s="1"/>
  <c r="D98"/>
  <c r="D97" s="1"/>
  <c r="D112"/>
  <c r="E42"/>
  <c r="D13"/>
  <c r="E68" l="1"/>
  <c r="E98"/>
  <c r="E97" s="1"/>
  <c r="E131"/>
  <c r="F71"/>
  <c r="E71" s="1"/>
  <c r="D130"/>
  <c r="D129" s="1"/>
  <c r="F10" l="1"/>
  <c r="G10"/>
  <c r="H10"/>
  <c r="I10"/>
  <c r="I70"/>
  <c r="I38" s="1"/>
  <c r="H70"/>
  <c r="H38" s="1"/>
  <c r="G70"/>
  <c r="G38" s="1"/>
  <c r="F70"/>
  <c r="F38" s="1"/>
  <c r="D70"/>
  <c r="D38" s="1"/>
  <c r="D108"/>
  <c r="D104" s="1"/>
  <c r="F129"/>
  <c r="F128" s="1"/>
  <c r="G129"/>
  <c r="G128" s="1"/>
  <c r="H129"/>
  <c r="H128" s="1"/>
  <c r="I129"/>
  <c r="I128" s="1"/>
  <c r="D128"/>
  <c r="E36"/>
  <c r="E22"/>
  <c r="E20"/>
  <c r="E130"/>
  <c r="E16"/>
  <c r="E17"/>
  <c r="E15"/>
  <c r="E12"/>
  <c r="E133"/>
  <c r="E127"/>
  <c r="E126" s="1"/>
  <c r="E125" s="1"/>
  <c r="F126"/>
  <c r="F125" s="1"/>
  <c r="G126"/>
  <c r="G125" s="1"/>
  <c r="H126"/>
  <c r="H125" s="1"/>
  <c r="I126"/>
  <c r="I125" s="1"/>
  <c r="D126"/>
  <c r="D125" s="1"/>
  <c r="E123"/>
  <c r="E122" s="1"/>
  <c r="F121"/>
  <c r="G121"/>
  <c r="H121"/>
  <c r="I121"/>
  <c r="E112"/>
  <c r="E110" s="1"/>
  <c r="F110"/>
  <c r="G110"/>
  <c r="H110"/>
  <c r="I110"/>
  <c r="D110"/>
  <c r="E106"/>
  <c r="E107"/>
  <c r="E108"/>
  <c r="E103"/>
  <c r="E102" s="1"/>
  <c r="F102"/>
  <c r="F101" s="1"/>
  <c r="G102"/>
  <c r="H102"/>
  <c r="H101" s="1"/>
  <c r="I102"/>
  <c r="D102"/>
  <c r="E94"/>
  <c r="E95"/>
  <c r="F92"/>
  <c r="G92"/>
  <c r="H92"/>
  <c r="I92"/>
  <c r="D92"/>
  <c r="E86"/>
  <c r="E87"/>
  <c r="E88"/>
  <c r="F85"/>
  <c r="G85"/>
  <c r="H85"/>
  <c r="I85"/>
  <c r="E84"/>
  <c r="E83" s="1"/>
  <c r="F83"/>
  <c r="G83"/>
  <c r="H83"/>
  <c r="I83"/>
  <c r="E35"/>
  <c r="E37"/>
  <c r="F34"/>
  <c r="G34"/>
  <c r="H34"/>
  <c r="I34"/>
  <c r="D83"/>
  <c r="E32"/>
  <c r="E31" s="1"/>
  <c r="E30" s="1"/>
  <c r="F31"/>
  <c r="F30" s="1"/>
  <c r="G31"/>
  <c r="G30" s="1"/>
  <c r="H31"/>
  <c r="H30" s="1"/>
  <c r="I31"/>
  <c r="I30" s="1"/>
  <c r="D31"/>
  <c r="D30" s="1"/>
  <c r="E25"/>
  <c r="E24" s="1"/>
  <c r="F24"/>
  <c r="G24"/>
  <c r="H24"/>
  <c r="I24"/>
  <c r="D24"/>
  <c r="E27"/>
  <c r="F26"/>
  <c r="G26"/>
  <c r="H26"/>
  <c r="I26"/>
  <c r="D26"/>
  <c r="E19"/>
  <c r="E21"/>
  <c r="G18"/>
  <c r="F18"/>
  <c r="H18"/>
  <c r="I18"/>
  <c r="D18"/>
  <c r="E11"/>
  <c r="E13"/>
  <c r="D10"/>
  <c r="E23"/>
  <c r="D85"/>
  <c r="D34"/>
  <c r="E121"/>
  <c r="E34" l="1"/>
  <c r="E18"/>
  <c r="I33"/>
  <c r="G101"/>
  <c r="E93"/>
  <c r="E92" s="1"/>
  <c r="E10"/>
  <c r="H33"/>
  <c r="D9"/>
  <c r="E26"/>
  <c r="I101"/>
  <c r="D122"/>
  <c r="D121" s="1"/>
  <c r="E104"/>
  <c r="E101" s="1"/>
  <c r="I9"/>
  <c r="G9"/>
  <c r="D33"/>
  <c r="D101"/>
  <c r="E129"/>
  <c r="E128" s="1"/>
  <c r="H9"/>
  <c r="F9"/>
  <c r="E70"/>
  <c r="E38" s="1"/>
  <c r="F33"/>
  <c r="E85"/>
  <c r="G33"/>
  <c r="H134" l="1"/>
  <c r="E9"/>
  <c r="I134"/>
  <c r="G134"/>
  <c r="F134"/>
  <c r="D134"/>
  <c r="E33"/>
  <c r="E134" l="1"/>
</calcChain>
</file>

<file path=xl/sharedStrings.xml><?xml version="1.0" encoding="utf-8"?>
<sst xmlns="http://schemas.openxmlformats.org/spreadsheetml/2006/main" count="210" uniqueCount="179">
  <si>
    <t>Rozdz.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</si>
  <si>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</si>
  <si>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</si>
  <si>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</si>
  <si>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</si>
  <si>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</si>
  <si>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</si>
  <si>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</si>
  <si>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</si>
  <si>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Program Współpracy Transgranicznej Litwa-Polska-Rosja 2007-2013</t>
  </si>
  <si>
    <t>01006</t>
  </si>
  <si>
    <t>Żuławski Zarząd Melioracji i Urządzeń Wodnych w Elblągu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</si>
  <si>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</si>
  <si>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</si>
  <si>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</si>
  <si>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</si>
  <si>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</si>
  <si>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</si>
  <si>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Wydatki na zakupy inwestycyjne, w tym: zakup i instalacja sprzętu komputerowego i oprogramowania, drukarek w ramach PROW 2007-2013</t>
  </si>
  <si>
    <t>050</t>
  </si>
  <si>
    <t>05011</t>
  </si>
  <si>
    <t>600</t>
  </si>
  <si>
    <t>60001</t>
  </si>
  <si>
    <t>Usługa leasingu finansowego 3 szt. dwuczłonowych autobusów szynowych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</si>
  <si>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</si>
  <si>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</si>
  <si>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</si>
  <si>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</si>
  <si>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</si>
  <si>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</si>
  <si>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</si>
  <si>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</si>
  <si>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</si>
  <si>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</si>
  <si>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</si>
  <si>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</si>
  <si>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</si>
  <si>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</si>
  <si>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</si>
  <si>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</si>
  <si>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</si>
  <si>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</si>
  <si>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</si>
  <si>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Sieć Szerokopasmowa Polski Wschodniej</t>
  </si>
  <si>
    <t>60095</t>
  </si>
  <si>
    <t>Data Center "Wrota Warmii i Mazur" Cyfrowy Urząd</t>
  </si>
  <si>
    <t>Modernizacja i rozbudowa Centrum Zarządzania Siecią w Urzędzie Marszałkowskim Województwa Warmińsko-Mazurskiego w Olsztynie</t>
  </si>
  <si>
    <t>700</t>
  </si>
  <si>
    <t>70005</t>
  </si>
  <si>
    <t>Zakup nieruchomości, w trybie kodeksu cywilnego, na potrzeby budowy lub modernizacji dróg wojewódzkich</t>
  </si>
  <si>
    <t>750</t>
  </si>
  <si>
    <t>75018</t>
  </si>
  <si>
    <t>75017</t>
  </si>
  <si>
    <t>75095</t>
  </si>
  <si>
    <t>Pomoc Techniczna - Funkcjonowanie filii Wspólnego Sekretariatu Technicznego Programu w Urzędzie Marszałkowskim Woj.W-M</t>
  </si>
  <si>
    <t>Kluczowe wyzwania dla województw Polski Wschodniej w przyszłym okresie programowania - analizy rozwoju sytuacji, plany adaptacji i stworzenie systemu stałej współpracy</t>
  </si>
  <si>
    <t>853</t>
  </si>
  <si>
    <t>85332</t>
  </si>
  <si>
    <t>900</t>
  </si>
  <si>
    <t>925</t>
  </si>
  <si>
    <t>92502</t>
  </si>
  <si>
    <t>Zarządy melioracji i urządzeń wodnych</t>
  </si>
  <si>
    <t>Melioracje wodne</t>
  </si>
  <si>
    <t>Rybołówstwo i rybactwo</t>
  </si>
  <si>
    <t>Program Operacyjny Zrównoważony rozwój sektora rybołówstwa i nadbrzeżnych obszarów rybackich 2007-2013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</si>
  <si>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</si>
  <si>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</si>
  <si>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</si>
  <si>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</si>
  <si>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</si>
  <si>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</si>
  <si>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</si>
  <si>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</si>
  <si>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</si>
  <si>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</si>
  <si>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</si>
  <si>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</si>
  <si>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Gospodarka komunalna i ochrona środowiska</t>
  </si>
  <si>
    <t>Ogrody botaniczne i zoologiczne oraz naturalne obszary i obiekty chronionej przyrody</t>
  </si>
  <si>
    <t>Parki krajobrazowe</t>
  </si>
  <si>
    <t>01042</t>
  </si>
  <si>
    <t>Wyłączenie z produkcji gruntów rolnych</t>
  </si>
  <si>
    <t>w zł</t>
  </si>
  <si>
    <t>Dz.</t>
  </si>
  <si>
    <t>Planowane wydatki na inwestycje wieloletnie przewidziane do realizacji 
w 2012 roku</t>
  </si>
  <si>
    <t>Nazwa zadania inwestycyjnego 
realizowanego w 2012 roku</t>
  </si>
  <si>
    <t>Termomodernizacja budynku biurowego przy ul. Grota Roweckiego 1 w Bartoszycach</t>
  </si>
  <si>
    <t xml:space="preserve">Program Rozwoju Obszarów Wiejskich 2007-2013 </t>
  </si>
  <si>
    <t>Monitoring budynku Zarządu ul. Junaków 3</t>
  </si>
  <si>
    <t>Wymiana sieci ciepłowniczej w budynku Zarządu ul. Junaków 3</t>
  </si>
  <si>
    <t>Wymiana automatyki pieca olejowego w budynku Zarządu ul. Junaków 3</t>
  </si>
  <si>
    <t>Rozwój bazy edukacyjnej Parku Krajobrazowego Puszczy Rominckiej w Żytkiejmach</t>
  </si>
  <si>
    <t>Park Krajobrazowy Wysoczyzny Elbląskiej w Elblągu</t>
  </si>
  <si>
    <t>90095</t>
  </si>
  <si>
    <t xml:space="preserve">MANEV - Ocena gospodarki odchodami z produkcji zwierzęcej i metod ich przetwarzania dla ochrony środowiska i zównoważonej hodowli zwierząt w Europie - opracowanie oprogramowania komputerowego </t>
  </si>
  <si>
    <t>Wydatki na zakupy inwestycyjne, w tym zakup kserokopiarki kolor w rmach PO RYBY 2007-2013</t>
  </si>
  <si>
    <t>Program Operacyjny Infrastruktura i Środowisko 2007-2013
Kompleksowe zabezpieczenie przeciwpowodziowe Żuław - Etap I</t>
  </si>
  <si>
    <t>Dostawa nowego trójczłonowego elektrycznego zespołu trakcyjnego</t>
  </si>
  <si>
    <t>Dostawa nowego dwuczłonowego elektrycznego zespołu trakcyjnego w formie leasingu finansowego na lata 2012-2015</t>
  </si>
  <si>
    <t>LIFEscape - Krajobraz jako byt</t>
  </si>
  <si>
    <t xml:space="preserve">Budowa Warmińsko-Mazurskiej platformy GIS dla przedsiębiorstw </t>
  </si>
  <si>
    <t>III rata za nieruchomość gruntową zabudowaną położoną w Olsztynie przy ul. Głowackiego 17</t>
  </si>
  <si>
    <t>Remont / modernizacja budynku Urzędu Marszałkowskiego przy ul. Głowackiego 17</t>
  </si>
  <si>
    <t xml:space="preserve">Zakup centrali telefonicznej </t>
  </si>
  <si>
    <t>Pomoc Techniczna</t>
  </si>
  <si>
    <t xml:space="preserve"> </t>
  </si>
  <si>
    <t>60014</t>
  </si>
  <si>
    <t>Remont mostu w miejscowości Prosna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</si>
  <si>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</si>
  <si>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</si>
  <si>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</si>
  <si>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Przebudowa mostu na przepust w msc. Niedźwiedzkie (655) oraz przebudowa lub rozbudowa 14 przepustów: k/msc. Krosno (527), k/msc. Zbożne (527), k/msc. Kuligi (538), k/msc. Nowe Borowe (545), k/msc. Wiewiórki (512), k/msc. Wojmiany (511), k/msc. Zajączkowo (504), k/msc. Jedwabno (545), k/msc. Duły (655), k/msc. Słupnica (538), k/msc. Winda (591), k/msc. Kiepojcie (651), k/msc. Zdrojek (604), k/msc. Kraszewo (544)</t>
  </si>
  <si>
    <t>Dokumentacje techniczne</t>
  </si>
  <si>
    <t>Budowa chodnika w ciągu drogi nr 507 w msc. Lipowina 
(2012-2013)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</si>
  <si>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</si>
  <si>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</si>
  <si>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granica województwa - Rychliki</t>
  </si>
  <si>
    <t>Adaptacja pomieszczeń biurowych przejętych po Wojewódzkim Zespole Medycyny Przemysłowej w Olsztynie</t>
  </si>
  <si>
    <t>Drogi publiczne powiatowe</t>
  </si>
  <si>
    <t>Termomodernizacja systemu ogrzewania siedziby Welskiego Parku Krajobrazowego w Jeleniu</t>
  </si>
  <si>
    <t>Rozbudowa drogi wojewódzkiej nr 526 na odcinku Śliwica - Kąty 2,4 km z przebudową mostu</t>
  </si>
  <si>
    <t>Rozbudowa drogi wojewódzkiej nr 527 na odcinku Rychliki - Jelonki wraz z infrastrukturą towarzyszącą</t>
  </si>
  <si>
    <t>Welski Park Krajobrazowy</t>
  </si>
  <si>
    <t>710</t>
  </si>
  <si>
    <t>71003</t>
  </si>
  <si>
    <t>Warmińsko-Mazurskie Biuro Planowania Przestrzennego</t>
  </si>
  <si>
    <t xml:space="preserve">Zakup aktualizacji oprogramowania do projektowania "MAP-INFO" </t>
  </si>
  <si>
    <t>Zakup oprogramowania do projektowania "MAP-INFO"</t>
  </si>
  <si>
    <t>01095</t>
  </si>
  <si>
    <t>Doposażenie magazynu przeciwpowodziowego</t>
  </si>
  <si>
    <t>Budowa i przebudowa chodnika przy ul. Kościuszki w Biskupcu w ciągu drogi nr 596</t>
  </si>
  <si>
    <t>Ogółem</t>
  </si>
  <si>
    <t>Program Operacyjny Kapitał Ludzki Pomoc Techniczna</t>
  </si>
  <si>
    <t>Przebudowa przyłącza energetycznego i wodociągowego wraz z zagospodarowaniem terenu wokół budynku biurowego Rejonowego Oddziału w Olsztynie przy ulicy Kościuszki 37A</t>
  </si>
  <si>
    <t>852</t>
  </si>
  <si>
    <t>85226</t>
  </si>
  <si>
    <t>Pomoc społeczna</t>
  </si>
  <si>
    <t>Ośrodki adopcyjno-opiekuńcze</t>
  </si>
  <si>
    <t>Wojewódzki Urząd Pracy 
w Olsztynie</t>
  </si>
  <si>
    <t>Warmińsko-Mazurski Ośrodek Adopcyjny 
w Olsztynie</t>
  </si>
  <si>
    <t>Zarząd Melioracji i Urządzeń Wodnych 
w Olsztynie</t>
  </si>
  <si>
    <t>Żuławski Zarząd Melioracji i Urządzeń Wodnych 
w Elblągu</t>
  </si>
  <si>
    <t>Park Krajobrazowy Puszczy Rominckiej 
w Żytkiejmach</t>
  </si>
  <si>
    <t>Wzmocnienie potencjału edukacyjnego Parku Krajobrazowego Puszczy Rominckiej</t>
  </si>
  <si>
    <t>Budowa chodnika w ciągu drogi nr 527 w msc. Kwitajny</t>
  </si>
  <si>
    <t>Budowa chodnika w ciągu drogi nr 538 w msc. Grodziczno</t>
  </si>
  <si>
    <t>Budowa chodnika w ciągu drogi nr 538 w msc. Żabiny</t>
  </si>
  <si>
    <t>Budowa chodnika w ciągu drogi nr 544 w msc. Iłowo-Osada</t>
  </si>
  <si>
    <t>Budowa chodnika w ciągu drogi nr 519 w msc. Zajezierze</t>
  </si>
  <si>
    <t>Budowa chodnika w ciągu drogi nr 600 w msc. Nowe Kiejkuty</t>
  </si>
  <si>
    <t>Opracowanie dokumentacji projektowej w tym programu funkcjonalno-użytkowego i remont pomieszczeń ul. Głowackiego 17</t>
  </si>
  <si>
    <t>Przebudowa chodnika w ciągu drogi nr 527 w msc. Kalnik</t>
  </si>
  <si>
    <t>Wzmocnienie drogi nr 544 na odc. Działdowo - Mławka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</si>
  <si>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</si>
  <si>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</si>
  <si>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</si>
  <si>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</si>
  <si>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</si>
  <si>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801</t>
  </si>
  <si>
    <t>80147</t>
  </si>
  <si>
    <t>Biblioteki pedagogiczne</t>
  </si>
  <si>
    <t>Oświata i wychowanie</t>
  </si>
  <si>
    <t>Zakup serwera</t>
  </si>
  <si>
    <t>Warmińsko-Mazurska Biblioteka Pedagogiczna 
w Elblągu</t>
  </si>
  <si>
    <t>Warmińsko-Mazurska Biblioteka Pedagogiczna 
w Olsztynie</t>
  </si>
  <si>
    <t>Zakup zintegrowanego systemu bibliotecznego</t>
  </si>
  <si>
    <t>Zakup serwera programu bibliotecznego</t>
  </si>
  <si>
    <t>Przebudowa mostu na przepust stalowy w ciągu drogi wojewódzkiej nr 510 k/msc. Łajsy</t>
  </si>
  <si>
    <t>Wzmocnienie nawierzchni drogi nr 591 odcinkami między Kętrzynem i Mrągowem (2012-2013)</t>
  </si>
  <si>
    <t>Budowa chodnika i 2 zatok autobusowych w ciągu drogi nr 512 w msc. Piasty Wielkie</t>
  </si>
  <si>
    <t>Budowa ciągu pieszo-rowerowego przy drodze wojewódzkiej nr 527 na odcinku Pasłęk-Rzędy, etap I</t>
  </si>
  <si>
    <t xml:space="preserve">Awaryjne wykonanie przyłącza kanalizacji deszczowej w ciagu drogi wojewódzkiej nr 594 ul. Gdańska w Kętrzynie </t>
  </si>
  <si>
    <t>Tabela Nr 3</t>
  </si>
  <si>
    <t>Wykonanie wydatków na zadania inwestycyjne (roczne i wieloletnie) przewidziane do realizacji w 2012 roku</t>
  </si>
  <si>
    <t xml:space="preserve">Działalność usługowa </t>
  </si>
  <si>
    <t>Biuro planowania przestrzennego</t>
  </si>
  <si>
    <t>Wykonane wydatki na inwestycje wieloletnie przewidziane do realizacji 
w 2012 roku</t>
  </si>
  <si>
    <t>Planowane wydatki na inwestycje jednoroczne przewidziane do realizacji w 2012 roku
(6 do 9)</t>
  </si>
  <si>
    <t>Wykonane wydatki na inwestycje jednoroczne przewidziane do realizacji w 2012 roku
(12 do 15)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</si>
</sst>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33CC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vertical="top"/>
    </xf>
    <xf numFmtId="3" fontId="4" fillId="5" borderId="0" xfId="0" applyNumberFormat="1" applyFont="1" applyFill="1" applyBorder="1" applyAlignment="1" applyProtection="1">
      <alignment horizontal="left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/>
    <xf numFmtId="0" fontId="3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8" fillId="4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49" fontId="3" fillId="5" borderId="2" xfId="0" applyNumberFormat="1" applyFont="1" applyFill="1" applyBorder="1" applyAlignment="1">
      <alignment vertical="center"/>
    </xf>
    <xf numFmtId="49" fontId="3" fillId="5" borderId="2" xfId="0" applyNumberFormat="1" applyFont="1" applyFill="1" applyBorder="1" applyAlignment="1">
      <alignment vertical="top"/>
    </xf>
    <xf numFmtId="49" fontId="3" fillId="5" borderId="5" xfId="0" applyNumberFormat="1" applyFont="1" applyFill="1" applyBorder="1" applyAlignment="1">
      <alignment vertical="top" wrapText="1"/>
    </xf>
    <xf numFmtId="3" fontId="3" fillId="5" borderId="5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/>
    <xf numFmtId="49" fontId="3" fillId="5" borderId="6" xfId="0" applyNumberFormat="1" applyFont="1" applyFill="1" applyBorder="1" applyAlignment="1">
      <alignment vertical="top" wrapText="1"/>
    </xf>
    <xf numFmtId="3" fontId="3" fillId="5" borderId="6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vertical="center" wrapText="1"/>
    </xf>
    <xf numFmtId="3" fontId="3" fillId="5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 wrapText="1"/>
    </xf>
    <xf numFmtId="49" fontId="3" fillId="5" borderId="12" xfId="0" applyNumberFormat="1" applyFont="1" applyFill="1" applyBorder="1" applyAlignment="1">
      <alignment vertical="center" wrapText="1"/>
    </xf>
    <xf numFmtId="3" fontId="3" fillId="5" borderId="1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vertical="center"/>
    </xf>
    <xf numFmtId="49" fontId="9" fillId="5" borderId="2" xfId="0" applyNumberFormat="1" applyFont="1" applyFill="1" applyBorder="1" applyAlignment="1">
      <alignment vertical="top"/>
    </xf>
    <xf numFmtId="0" fontId="9" fillId="5" borderId="0" xfId="0" applyFont="1" applyFill="1"/>
    <xf numFmtId="49" fontId="3" fillId="5" borderId="7" xfId="0" applyNumberFormat="1" applyFont="1" applyFill="1" applyBorder="1" applyAlignment="1">
      <alignment vertical="top" wrapText="1"/>
    </xf>
    <xf numFmtId="3" fontId="3" fillId="5" borderId="7" xfId="0" applyNumberFormat="1" applyFont="1" applyFill="1" applyBorder="1" applyAlignment="1">
      <alignment horizontal="right"/>
    </xf>
    <xf numFmtId="0" fontId="3" fillId="5" borderId="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5" borderId="5" xfId="0" applyNumberFormat="1" applyFont="1" applyFill="1" applyBorder="1" applyAlignment="1">
      <alignment vertical="center" wrapText="1"/>
    </xf>
    <xf numFmtId="3" fontId="3" fillId="5" borderId="5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vertical="top"/>
    </xf>
    <xf numFmtId="49" fontId="3" fillId="5" borderId="12" xfId="0" applyNumberFormat="1" applyFont="1" applyFill="1" applyBorder="1" applyAlignment="1">
      <alignment vertical="top" wrapText="1"/>
    </xf>
    <xf numFmtId="3" fontId="3" fillId="5" borderId="1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49" fontId="3" fillId="5" borderId="2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vertical="center" wrapText="1"/>
    </xf>
    <xf numFmtId="3" fontId="3" fillId="5" borderId="7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vertical="center" wrapText="1"/>
    </xf>
    <xf numFmtId="3" fontId="8" fillId="3" borderId="4" xfId="0" applyNumberFormat="1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vertical="top" wrapText="1"/>
    </xf>
    <xf numFmtId="3" fontId="3" fillId="5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vertical="top" wrapText="1"/>
    </xf>
    <xf numFmtId="3" fontId="3" fillId="2" borderId="4" xfId="0" applyNumberFormat="1" applyFont="1" applyFill="1" applyBorder="1" applyAlignment="1">
      <alignment horizontal="right"/>
    </xf>
    <xf numFmtId="3" fontId="3" fillId="5" borderId="4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vertical="top"/>
    </xf>
    <xf numFmtId="0" fontId="9" fillId="2" borderId="0" xfId="0" applyFont="1" applyFill="1"/>
    <xf numFmtId="49" fontId="8" fillId="3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vertical="top"/>
    </xf>
    <xf numFmtId="49" fontId="9" fillId="2" borderId="2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49" fontId="9" fillId="2" borderId="4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top"/>
    </xf>
    <xf numFmtId="0" fontId="3" fillId="5" borderId="1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13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top"/>
    </xf>
    <xf numFmtId="0" fontId="3" fillId="5" borderId="19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4" fillId="5" borderId="12" xfId="1" applyFont="1" applyFill="1" applyBorder="1" applyAlignment="1">
      <alignment horizontal="left" vertical="center" wrapText="1"/>
    </xf>
    <xf numFmtId="3" fontId="3" fillId="5" borderId="12" xfId="1" applyNumberFormat="1" applyFont="1" applyFill="1" applyBorder="1" applyAlignment="1">
      <alignment horizontal="right" wrapText="1"/>
    </xf>
    <xf numFmtId="3" fontId="3" fillId="5" borderId="12" xfId="1" applyNumberFormat="1" applyFont="1" applyFill="1" applyBorder="1" applyAlignment="1">
      <alignment wrapText="1"/>
    </xf>
    <xf numFmtId="49" fontId="3" fillId="3" borderId="4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vertical="center" wrapText="1"/>
    </xf>
    <xf numFmtId="3" fontId="3" fillId="5" borderId="4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49" fontId="3" fillId="5" borderId="3" xfId="0" applyNumberFormat="1" applyFont="1" applyFill="1" applyBorder="1" applyAlignment="1">
      <alignment vertical="center" wrapText="1"/>
    </xf>
    <xf numFmtId="3" fontId="3" fillId="5" borderId="14" xfId="2" applyNumberFormat="1" applyFont="1" applyFill="1" applyBorder="1" applyAlignment="1">
      <alignment horizontal="right" vertical="center"/>
    </xf>
    <xf numFmtId="3" fontId="3" fillId="5" borderId="2" xfId="2" applyNumberFormat="1" applyFont="1" applyFill="1" applyBorder="1" applyAlignment="1">
      <alignment horizontal="right" vertical="center"/>
    </xf>
    <xf numFmtId="3" fontId="3" fillId="5" borderId="15" xfId="2" applyNumberFormat="1" applyFont="1" applyFill="1" applyBorder="1" applyAlignment="1">
      <alignment horizontal="right" vertical="center"/>
    </xf>
    <xf numFmtId="3" fontId="3" fillId="5" borderId="6" xfId="2" applyNumberFormat="1" applyFont="1" applyFill="1" applyBorder="1" applyAlignment="1">
      <alignment horizontal="right"/>
    </xf>
    <xf numFmtId="49" fontId="3" fillId="5" borderId="17" xfId="0" applyNumberFormat="1" applyFont="1" applyFill="1" applyBorder="1" applyAlignment="1">
      <alignment vertical="center" wrapText="1"/>
    </xf>
    <xf numFmtId="3" fontId="3" fillId="5" borderId="18" xfId="2" applyNumberFormat="1" applyFont="1" applyFill="1" applyBorder="1" applyAlignment="1">
      <alignment horizontal="right" vertical="center"/>
    </xf>
    <xf numFmtId="3" fontId="3" fillId="5" borderId="17" xfId="0" applyNumberFormat="1" applyFont="1" applyFill="1" applyBorder="1" applyAlignment="1">
      <alignment horizontal="right"/>
    </xf>
    <xf numFmtId="3" fontId="3" fillId="5" borderId="17" xfId="2" applyNumberFormat="1" applyFont="1" applyFill="1" applyBorder="1" applyAlignment="1">
      <alignment horizontal="right"/>
    </xf>
    <xf numFmtId="3" fontId="3" fillId="5" borderId="16" xfId="2" applyNumberFormat="1" applyFont="1" applyFill="1" applyBorder="1" applyAlignment="1">
      <alignment horizontal="right" vertical="center"/>
    </xf>
    <xf numFmtId="3" fontId="3" fillId="5" borderId="4" xfId="2" applyNumberFormat="1" applyFont="1" applyFill="1" applyBorder="1" applyAlignment="1">
      <alignment horizontal="right"/>
    </xf>
    <xf numFmtId="3" fontId="3" fillId="5" borderId="16" xfId="2" applyNumberFormat="1" applyFont="1" applyFill="1" applyBorder="1" applyAlignment="1">
      <alignment horizontal="right"/>
    </xf>
    <xf numFmtId="0" fontId="8" fillId="3" borderId="4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right" vertical="center" wrapText="1"/>
    </xf>
    <xf numFmtId="3" fontId="3" fillId="5" borderId="7" xfId="0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/>
    </xf>
    <xf numFmtId="3" fontId="7" fillId="5" borderId="1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vertical="center"/>
    </xf>
    <xf numFmtId="49" fontId="3" fillId="5" borderId="4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horizontal="right" vertical="center"/>
    </xf>
    <xf numFmtId="49" fontId="3" fillId="5" borderId="4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/>
    <xf numFmtId="0" fontId="3" fillId="2" borderId="0" xfId="0" applyFont="1" applyFill="1" applyAlignment="1">
      <alignment horizontal="right" vertical="top"/>
    </xf>
  </cellXfs>
  <cellStyles count="3">
    <cellStyle name="Normalny" xfId="0" builtinId="0"/>
    <cellStyle name="Normalny 3" xfId="1"/>
    <cellStyle name="Normalny 7" xfId="2"/>
  </cellStyles>
  <dxfs count="0"/>
  <tableStyles count="0" defaultTableStyle="TableStyleMedium9" defaultPivotStyle="PivotStyleLight16"/>
  <colors>
    <mruColors>
      <color rgb="FF0033CC"/>
      <color rgb="FFFF0066"/>
      <color rgb="FF32EE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7"/>
  <sheetViews>
    <sheetView tabSelected="1" view="pageBreakPreview" zoomScaleNormal="100" zoomScaleSheetLayoutView="100" workbookViewId="0">
      <selection activeCell="D11" sqref="D11"/>
    </sheetView>
  </sheetViews>
  <sheetFormatPr defaultRowHeight="12.75"/>
  <cols>
    <col min="1" max="1" width="4.7109375" style="1" customWidth="1"/>
    <col min="2" max="2" width="7" style="1" customWidth="1"/>
    <col min="3" max="3" width="56.7109375" style="2" customWidth="1"/>
    <col min="4" max="4" width="15.140625" style="1" customWidth="1"/>
    <col min="5" max="5" width="13.2851562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15.140625" style="1" customWidth="1"/>
    <col min="11" max="11" width="13.140625" style="1" customWidth="1"/>
    <col min="12" max="12" width="11.28515625" style="1" customWidth="1"/>
    <col min="13" max="13" width="11" style="1" customWidth="1"/>
    <col min="14" max="14" width="12.5703125" style="1" customWidth="1"/>
    <col min="15" max="15" width="12.28515625" style="1" customWidth="1"/>
    <col min="16" max="16" width="23.42578125" style="5" customWidth="1"/>
    <col min="17" max="17" width="9" style="1" customWidth="1"/>
    <col min="18" max="16384" width="9.140625" style="1"/>
  </cols>
  <sheetData>
    <row r="1" spans="1:16">
      <c r="I1" s="3"/>
      <c r="O1" s="3" t="s">
        <v>172</v>
      </c>
      <c r="P1" s="3"/>
    </row>
    <row r="2" spans="1:16">
      <c r="I2" s="4"/>
      <c r="O2" s="4"/>
    </row>
    <row r="3" spans="1:16" s="7" customFormat="1">
      <c r="A3" s="6" t="s">
        <v>173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5" spans="1:16">
      <c r="P5" s="8" t="s">
        <v>82</v>
      </c>
    </row>
    <row r="6" spans="1:16" s="12" customFormat="1" ht="23.25" customHeight="1">
      <c r="A6" s="9" t="s">
        <v>83</v>
      </c>
      <c r="B6" s="9" t="s">
        <v>0</v>
      </c>
      <c r="C6" s="9" t="s">
        <v>85</v>
      </c>
      <c r="D6" s="9" t="s">
        <v>84</v>
      </c>
      <c r="E6" s="9" t="s">
        <v>177</v>
      </c>
      <c r="F6" s="10" t="s">
        <v>1</v>
      </c>
      <c r="G6" s="11"/>
      <c r="H6" s="11"/>
      <c r="I6" s="11"/>
      <c r="J6" s="9" t="s">
        <v>176</v>
      </c>
      <c r="K6" s="9" t="s">
        <v>178</v>
      </c>
      <c r="L6" s="10" t="s">
        <v>1</v>
      </c>
      <c r="M6" s="11"/>
      <c r="N6" s="11"/>
      <c r="O6" s="11"/>
      <c r="P6" s="11" t="s">
        <v>3</v>
      </c>
    </row>
    <row r="7" spans="1:16" s="12" customFormat="1" ht="81.75" customHeight="1">
      <c r="A7" s="13"/>
      <c r="B7" s="13"/>
      <c r="C7" s="13"/>
      <c r="D7" s="13"/>
      <c r="E7" s="13"/>
      <c r="F7" s="14" t="s">
        <v>7</v>
      </c>
      <c r="G7" s="15" t="s">
        <v>12</v>
      </c>
      <c r="H7" s="15" t="s">
        <v>2</v>
      </c>
      <c r="I7" s="15" t="s">
        <v>6</v>
      </c>
      <c r="J7" s="13"/>
      <c r="K7" s="13"/>
      <c r="L7" s="14" t="s">
        <v>7</v>
      </c>
      <c r="M7" s="15" t="s">
        <v>12</v>
      </c>
      <c r="N7" s="15" t="s">
        <v>2</v>
      </c>
      <c r="O7" s="15" t="s">
        <v>6</v>
      </c>
      <c r="P7" s="11"/>
    </row>
    <row r="8" spans="1:16" s="12" customFormat="1" ht="6.75" customHeight="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16">
        <v>14</v>
      </c>
      <c r="O8" s="16">
        <v>15</v>
      </c>
      <c r="P8" s="16">
        <v>16</v>
      </c>
    </row>
    <row r="9" spans="1:16" s="21" customFormat="1" ht="14.25" customHeight="1">
      <c r="A9" s="17" t="s">
        <v>4</v>
      </c>
      <c r="B9" s="17"/>
      <c r="C9" s="18" t="s">
        <v>8</v>
      </c>
      <c r="D9" s="19">
        <f>SUM(D10+D18+D26+D24+D28)</f>
        <v>49854352</v>
      </c>
      <c r="E9" s="19">
        <f>SUM(E10+E18+E26+E24+E28)</f>
        <v>1321250</v>
      </c>
      <c r="F9" s="19">
        <f t="shared" ref="F9:I9" si="0">SUM(F10+F18+F26+F24+F28)</f>
        <v>521250</v>
      </c>
      <c r="G9" s="19">
        <f t="shared" si="0"/>
        <v>800000</v>
      </c>
      <c r="H9" s="19">
        <f t="shared" si="0"/>
        <v>0</v>
      </c>
      <c r="I9" s="19">
        <f t="shared" si="0"/>
        <v>0</v>
      </c>
      <c r="J9" s="19">
        <f>SUM(J10+J18+J26+J24+J28)</f>
        <v>44190211</v>
      </c>
      <c r="K9" s="19">
        <f>SUM(K10+K18+K26+K24+K28)</f>
        <v>1294783</v>
      </c>
      <c r="L9" s="19">
        <f t="shared" ref="L9:O9" si="1">SUM(L10+L18+L26+L24+L28)</f>
        <v>494783</v>
      </c>
      <c r="M9" s="19">
        <f t="shared" si="1"/>
        <v>800000</v>
      </c>
      <c r="N9" s="19">
        <f t="shared" si="1"/>
        <v>0</v>
      </c>
      <c r="O9" s="19">
        <f t="shared" si="1"/>
        <v>0</v>
      </c>
      <c r="P9" s="20"/>
    </row>
    <row r="10" spans="1:16" s="27" customFormat="1" ht="15.75" customHeight="1">
      <c r="A10" s="22"/>
      <c r="B10" s="23" t="s">
        <v>10</v>
      </c>
      <c r="C10" s="24" t="s">
        <v>61</v>
      </c>
      <c r="D10" s="25">
        <f>SUM(D11:D13)</f>
        <v>0</v>
      </c>
      <c r="E10" s="25">
        <f>SUM(E11:E17)</f>
        <v>311250</v>
      </c>
      <c r="F10" s="25">
        <f>SUM(F11:F17)</f>
        <v>311250</v>
      </c>
      <c r="G10" s="25">
        <f>SUM(G11:G17)</f>
        <v>0</v>
      </c>
      <c r="H10" s="25">
        <f>SUM(H11:H17)</f>
        <v>0</v>
      </c>
      <c r="I10" s="25">
        <f>SUM(I11:I17)</f>
        <v>0</v>
      </c>
      <c r="J10" s="25">
        <f>SUM(J11:J13)</f>
        <v>0</v>
      </c>
      <c r="K10" s="25">
        <f>SUM(K11:K17)</f>
        <v>304783</v>
      </c>
      <c r="L10" s="25">
        <f>SUM(L11:L17)</f>
        <v>304783</v>
      </c>
      <c r="M10" s="25">
        <f>SUM(M11:M17)</f>
        <v>0</v>
      </c>
      <c r="N10" s="25">
        <f>SUM(N11:N17)</f>
        <v>0</v>
      </c>
      <c r="O10" s="25">
        <f>SUM(O11:O17)</f>
        <v>0</v>
      </c>
      <c r="P10" s="26"/>
    </row>
    <row r="11" spans="1:16" s="34" customFormat="1" ht="39" customHeight="1">
      <c r="A11" s="28"/>
      <c r="B11" s="29"/>
      <c r="C11" s="30" t="s">
        <v>133</v>
      </c>
      <c r="D11" s="31">
        <v>0</v>
      </c>
      <c r="E11" s="31">
        <f t="shared" ref="E11:E17" si="2">SUM(F11:I11)</f>
        <v>175000</v>
      </c>
      <c r="F11" s="32">
        <f>200000-25000</f>
        <v>175000</v>
      </c>
      <c r="G11" s="31">
        <v>0</v>
      </c>
      <c r="H11" s="31">
        <v>0</v>
      </c>
      <c r="I11" s="31">
        <v>0</v>
      </c>
      <c r="J11" s="31">
        <v>0</v>
      </c>
      <c r="K11" s="31">
        <f t="shared" ref="K11:K13" si="3">SUM(L11:O11)</f>
        <v>172492</v>
      </c>
      <c r="L11" s="31">
        <v>172492</v>
      </c>
      <c r="M11" s="31">
        <v>0</v>
      </c>
      <c r="N11" s="31">
        <v>0</v>
      </c>
      <c r="O11" s="31">
        <v>0</v>
      </c>
      <c r="P11" s="33" t="s">
        <v>140</v>
      </c>
    </row>
    <row r="12" spans="1:16" s="34" customFormat="1" ht="27.75" customHeight="1">
      <c r="A12" s="28"/>
      <c r="B12" s="29"/>
      <c r="C12" s="35" t="s">
        <v>86</v>
      </c>
      <c r="D12" s="36">
        <v>0</v>
      </c>
      <c r="E12" s="36">
        <f t="shared" si="2"/>
        <v>7500</v>
      </c>
      <c r="F12" s="37">
        <v>7500</v>
      </c>
      <c r="G12" s="36">
        <v>0</v>
      </c>
      <c r="H12" s="36">
        <v>0</v>
      </c>
      <c r="I12" s="36">
        <v>0</v>
      </c>
      <c r="J12" s="36">
        <v>0</v>
      </c>
      <c r="K12" s="36">
        <f t="shared" si="3"/>
        <v>3856</v>
      </c>
      <c r="L12" s="36">
        <v>3856</v>
      </c>
      <c r="M12" s="36">
        <v>0</v>
      </c>
      <c r="N12" s="36">
        <v>0</v>
      </c>
      <c r="O12" s="36">
        <v>0</v>
      </c>
      <c r="P12" s="38"/>
    </row>
    <row r="13" spans="1:16" s="34" customFormat="1" ht="14.25" hidden="1" customHeight="1">
      <c r="A13" s="28"/>
      <c r="B13" s="29"/>
      <c r="C13" s="39" t="s">
        <v>9</v>
      </c>
      <c r="D13" s="40">
        <f>7831390-7440251-391139</f>
        <v>0</v>
      </c>
      <c r="E13" s="40">
        <f t="shared" si="2"/>
        <v>0</v>
      </c>
      <c r="F13" s="41">
        <v>0</v>
      </c>
      <c r="G13" s="40">
        <v>0</v>
      </c>
      <c r="H13" s="40">
        <v>0</v>
      </c>
      <c r="I13" s="40">
        <v>0</v>
      </c>
      <c r="J13" s="40">
        <f>7831390-7440251-391139</f>
        <v>0</v>
      </c>
      <c r="K13" s="40">
        <f t="shared" si="3"/>
        <v>0</v>
      </c>
      <c r="L13" s="40">
        <v>0</v>
      </c>
      <c r="M13" s="40">
        <v>0</v>
      </c>
      <c r="N13" s="40">
        <v>0</v>
      </c>
      <c r="O13" s="40">
        <v>0</v>
      </c>
      <c r="P13" s="38"/>
    </row>
    <row r="14" spans="1:16" s="34" customFormat="1" ht="14.25" customHeight="1">
      <c r="A14" s="28"/>
      <c r="B14" s="29"/>
      <c r="C14" s="39" t="s">
        <v>41</v>
      </c>
      <c r="D14" s="40">
        <f>7831390-7440251-391139</f>
        <v>0</v>
      </c>
      <c r="E14" s="40">
        <f t="shared" ref="E14" si="4">SUM(F14:I14)</f>
        <v>28750</v>
      </c>
      <c r="F14" s="41">
        <f>3750+25000</f>
        <v>28750</v>
      </c>
      <c r="G14" s="40">
        <v>0</v>
      </c>
      <c r="H14" s="40">
        <v>0</v>
      </c>
      <c r="I14" s="40">
        <v>0</v>
      </c>
      <c r="J14" s="40">
        <f>7831390-7440251-391139</f>
        <v>0</v>
      </c>
      <c r="K14" s="40">
        <f t="shared" ref="K14" si="5">SUM(L14:O14)</f>
        <v>28596</v>
      </c>
      <c r="L14" s="40">
        <v>28596</v>
      </c>
      <c r="M14" s="40">
        <v>0</v>
      </c>
      <c r="N14" s="40">
        <v>0</v>
      </c>
      <c r="O14" s="40">
        <v>0</v>
      </c>
      <c r="P14" s="42"/>
    </row>
    <row r="15" spans="1:16" s="34" customFormat="1" ht="14.25" customHeight="1">
      <c r="A15" s="28"/>
      <c r="B15" s="29"/>
      <c r="C15" s="43" t="s">
        <v>88</v>
      </c>
      <c r="D15" s="44">
        <v>0</v>
      </c>
      <c r="E15" s="44">
        <f t="shared" si="2"/>
        <v>50000</v>
      </c>
      <c r="F15" s="44">
        <v>50000</v>
      </c>
      <c r="G15" s="44">
        <v>0</v>
      </c>
      <c r="H15" s="44">
        <v>0</v>
      </c>
      <c r="I15" s="44">
        <v>0</v>
      </c>
      <c r="J15" s="44">
        <v>0</v>
      </c>
      <c r="K15" s="44">
        <f t="shared" ref="K15:K17" si="6">SUM(L15:O15)</f>
        <v>49839</v>
      </c>
      <c r="L15" s="44">
        <v>49839</v>
      </c>
      <c r="M15" s="44">
        <v>0</v>
      </c>
      <c r="N15" s="44">
        <v>0</v>
      </c>
      <c r="O15" s="44">
        <v>0</v>
      </c>
      <c r="P15" s="38" t="s">
        <v>11</v>
      </c>
    </row>
    <row r="16" spans="1:16" s="47" customFormat="1" ht="14.25" customHeight="1">
      <c r="A16" s="45"/>
      <c r="B16" s="46"/>
      <c r="C16" s="39" t="s">
        <v>89</v>
      </c>
      <c r="D16" s="40">
        <v>0</v>
      </c>
      <c r="E16" s="40">
        <f t="shared" si="2"/>
        <v>40000</v>
      </c>
      <c r="F16" s="40">
        <v>40000</v>
      </c>
      <c r="G16" s="40">
        <v>0</v>
      </c>
      <c r="H16" s="40">
        <v>0</v>
      </c>
      <c r="I16" s="40">
        <v>0</v>
      </c>
      <c r="J16" s="40">
        <v>0</v>
      </c>
      <c r="K16" s="40">
        <f t="shared" si="6"/>
        <v>40000</v>
      </c>
      <c r="L16" s="40">
        <v>40000</v>
      </c>
      <c r="M16" s="40">
        <v>0</v>
      </c>
      <c r="N16" s="40">
        <v>0</v>
      </c>
      <c r="O16" s="40">
        <v>0</v>
      </c>
      <c r="P16" s="38"/>
    </row>
    <row r="17" spans="1:16" s="47" customFormat="1" ht="25.5" customHeight="1">
      <c r="A17" s="45"/>
      <c r="B17" s="46"/>
      <c r="C17" s="48" t="s">
        <v>90</v>
      </c>
      <c r="D17" s="49">
        <v>0</v>
      </c>
      <c r="E17" s="49">
        <f t="shared" si="2"/>
        <v>10000</v>
      </c>
      <c r="F17" s="49">
        <v>10000</v>
      </c>
      <c r="G17" s="49">
        <v>0</v>
      </c>
      <c r="H17" s="49">
        <v>0</v>
      </c>
      <c r="I17" s="49">
        <v>0</v>
      </c>
      <c r="J17" s="49">
        <v>0</v>
      </c>
      <c r="K17" s="49">
        <f t="shared" si="6"/>
        <v>10000</v>
      </c>
      <c r="L17" s="49">
        <v>10000</v>
      </c>
      <c r="M17" s="49">
        <v>0</v>
      </c>
      <c r="N17" s="49">
        <v>0</v>
      </c>
      <c r="O17" s="49">
        <v>0</v>
      </c>
      <c r="P17" s="50"/>
    </row>
    <row r="18" spans="1:16" s="56" customFormat="1" ht="15.75" customHeight="1">
      <c r="A18" s="51"/>
      <c r="B18" s="52" t="s">
        <v>5</v>
      </c>
      <c r="C18" s="53" t="s">
        <v>62</v>
      </c>
      <c r="D18" s="54">
        <f t="shared" ref="D18:I18" si="7">SUM(D19:D23)</f>
        <v>49661352</v>
      </c>
      <c r="E18" s="54">
        <f t="shared" si="7"/>
        <v>800000</v>
      </c>
      <c r="F18" s="54">
        <f t="shared" si="7"/>
        <v>0</v>
      </c>
      <c r="G18" s="54">
        <f t="shared" si="7"/>
        <v>800000</v>
      </c>
      <c r="H18" s="54">
        <f t="shared" si="7"/>
        <v>0</v>
      </c>
      <c r="I18" s="54">
        <f t="shared" si="7"/>
        <v>0</v>
      </c>
      <c r="J18" s="54">
        <f t="shared" ref="J18:O18" si="8">SUM(J19:J23)</f>
        <v>44190211</v>
      </c>
      <c r="K18" s="54">
        <f t="shared" si="8"/>
        <v>800000</v>
      </c>
      <c r="L18" s="54">
        <f t="shared" si="8"/>
        <v>0</v>
      </c>
      <c r="M18" s="54">
        <f t="shared" si="8"/>
        <v>800000</v>
      </c>
      <c r="N18" s="54">
        <f t="shared" si="8"/>
        <v>0</v>
      </c>
      <c r="O18" s="54">
        <f t="shared" si="8"/>
        <v>0</v>
      </c>
      <c r="P18" s="55"/>
    </row>
    <row r="19" spans="1:16" s="61" customFormat="1" ht="18.75" customHeight="1">
      <c r="A19" s="57"/>
      <c r="B19" s="58"/>
      <c r="C19" s="59" t="s">
        <v>13</v>
      </c>
      <c r="D19" s="60">
        <v>0</v>
      </c>
      <c r="E19" s="60">
        <f>SUM(F19:I19)</f>
        <v>400000</v>
      </c>
      <c r="F19" s="60">
        <v>0</v>
      </c>
      <c r="G19" s="60">
        <v>400000</v>
      </c>
      <c r="H19" s="60">
        <v>0</v>
      </c>
      <c r="I19" s="60">
        <v>0</v>
      </c>
      <c r="J19" s="60">
        <v>0</v>
      </c>
      <c r="K19" s="60">
        <f>SUM(L19:O19)</f>
        <v>400000</v>
      </c>
      <c r="L19" s="60">
        <v>0</v>
      </c>
      <c r="M19" s="60">
        <v>400000</v>
      </c>
      <c r="N19" s="60">
        <v>0</v>
      </c>
      <c r="O19" s="60">
        <v>0</v>
      </c>
      <c r="P19" s="33" t="s">
        <v>140</v>
      </c>
    </row>
    <row r="20" spans="1:16" s="62" customFormat="1" ht="20.25" customHeight="1">
      <c r="A20" s="28"/>
      <c r="B20" s="28"/>
      <c r="C20" s="39" t="s">
        <v>14</v>
      </c>
      <c r="D20" s="40">
        <f>18750000+838032+1309421+31648+34400+103200+35340+22618+112500+34500+37500</f>
        <v>21309159</v>
      </c>
      <c r="E20" s="40">
        <f>SUM(F20:I20)</f>
        <v>0</v>
      </c>
      <c r="F20" s="40">
        <v>0</v>
      </c>
      <c r="G20" s="40">
        <v>0</v>
      </c>
      <c r="H20" s="40">
        <v>0</v>
      </c>
      <c r="I20" s="40">
        <v>0</v>
      </c>
      <c r="J20" s="40">
        <v>21309025</v>
      </c>
      <c r="K20" s="40">
        <f>SUM(L20:O20)</f>
        <v>0</v>
      </c>
      <c r="L20" s="40">
        <v>0</v>
      </c>
      <c r="M20" s="40">
        <v>0</v>
      </c>
      <c r="N20" s="40">
        <v>0</v>
      </c>
      <c r="O20" s="40">
        <v>0</v>
      </c>
      <c r="P20" s="42"/>
    </row>
    <row r="21" spans="1:16" ht="27" customHeight="1">
      <c r="A21" s="57"/>
      <c r="B21" s="63"/>
      <c r="C21" s="64" t="s">
        <v>96</v>
      </c>
      <c r="D21" s="65">
        <f>55000000-750000-4250000-26350000-4650000-9582736-1691071</f>
        <v>7726193</v>
      </c>
      <c r="E21" s="65">
        <f>SUM(F21:I21)</f>
        <v>0</v>
      </c>
      <c r="F21" s="65">
        <v>0</v>
      </c>
      <c r="G21" s="65">
        <v>0</v>
      </c>
      <c r="H21" s="65">
        <v>0</v>
      </c>
      <c r="I21" s="65">
        <v>0</v>
      </c>
      <c r="J21" s="65">
        <v>7151508</v>
      </c>
      <c r="K21" s="65">
        <f>SUM(L21:O21)</f>
        <v>0</v>
      </c>
      <c r="L21" s="65">
        <v>0</v>
      </c>
      <c r="M21" s="65">
        <v>0</v>
      </c>
      <c r="N21" s="65">
        <v>0</v>
      </c>
      <c r="O21" s="65">
        <v>0</v>
      </c>
      <c r="P21" s="38" t="s">
        <v>141</v>
      </c>
    </row>
    <row r="22" spans="1:16" s="67" customFormat="1" ht="18.75" customHeight="1">
      <c r="A22" s="66"/>
      <c r="B22" s="66"/>
      <c r="C22" s="39" t="s">
        <v>13</v>
      </c>
      <c r="D22" s="40">
        <v>0</v>
      </c>
      <c r="E22" s="40">
        <f>SUM(F22:I22)</f>
        <v>400000</v>
      </c>
      <c r="F22" s="40">
        <v>0</v>
      </c>
      <c r="G22" s="40">
        <v>400000</v>
      </c>
      <c r="H22" s="40">
        <v>0</v>
      </c>
      <c r="I22" s="40">
        <v>0</v>
      </c>
      <c r="J22" s="40">
        <v>0</v>
      </c>
      <c r="K22" s="40">
        <f>SUM(L22:O22)</f>
        <v>400000</v>
      </c>
      <c r="L22" s="40">
        <v>0</v>
      </c>
      <c r="M22" s="40">
        <v>400000</v>
      </c>
      <c r="N22" s="40">
        <v>0</v>
      </c>
      <c r="O22" s="40">
        <v>0</v>
      </c>
      <c r="P22" s="38"/>
    </row>
    <row r="23" spans="1:16" s="62" customFormat="1" ht="18.75" customHeight="1">
      <c r="A23" s="68"/>
      <c r="B23" s="69"/>
      <c r="C23" s="70" t="s">
        <v>14</v>
      </c>
      <c r="D23" s="71">
        <v>20626000</v>
      </c>
      <c r="E23" s="71">
        <f>SUM(F23:I23)</f>
        <v>0</v>
      </c>
      <c r="F23" s="71">
        <v>0</v>
      </c>
      <c r="G23" s="71">
        <v>0</v>
      </c>
      <c r="H23" s="71">
        <v>0</v>
      </c>
      <c r="I23" s="71">
        <v>0</v>
      </c>
      <c r="J23" s="71">
        <v>15729678</v>
      </c>
      <c r="K23" s="71">
        <f>SUM(L23:O23)</f>
        <v>0</v>
      </c>
      <c r="L23" s="71">
        <v>0</v>
      </c>
      <c r="M23" s="71">
        <v>0</v>
      </c>
      <c r="N23" s="71">
        <v>0</v>
      </c>
      <c r="O23" s="71">
        <v>0</v>
      </c>
      <c r="P23" s="50"/>
    </row>
    <row r="24" spans="1:16" s="56" customFormat="1" ht="15.75" customHeight="1">
      <c r="A24" s="72"/>
      <c r="B24" s="73" t="s">
        <v>17</v>
      </c>
      <c r="C24" s="74" t="s">
        <v>87</v>
      </c>
      <c r="D24" s="75">
        <f t="shared" ref="D24:O24" si="9">SUM(D25:D25)</f>
        <v>193000</v>
      </c>
      <c r="E24" s="75">
        <f t="shared" si="9"/>
        <v>0</v>
      </c>
      <c r="F24" s="75">
        <f t="shared" si="9"/>
        <v>0</v>
      </c>
      <c r="G24" s="75">
        <f t="shared" si="9"/>
        <v>0</v>
      </c>
      <c r="H24" s="75">
        <f t="shared" si="9"/>
        <v>0</v>
      </c>
      <c r="I24" s="75">
        <f t="shared" si="9"/>
        <v>0</v>
      </c>
      <c r="J24" s="75">
        <f t="shared" si="9"/>
        <v>0</v>
      </c>
      <c r="K24" s="75">
        <f t="shared" si="9"/>
        <v>0</v>
      </c>
      <c r="L24" s="75">
        <f t="shared" si="9"/>
        <v>0</v>
      </c>
      <c r="M24" s="75">
        <f t="shared" si="9"/>
        <v>0</v>
      </c>
      <c r="N24" s="75">
        <f t="shared" si="9"/>
        <v>0</v>
      </c>
      <c r="O24" s="75">
        <f t="shared" si="9"/>
        <v>0</v>
      </c>
      <c r="P24" s="76"/>
    </row>
    <row r="25" spans="1:16" ht="38.25" customHeight="1">
      <c r="A25" s="77"/>
      <c r="B25" s="78"/>
      <c r="C25" s="79" t="s">
        <v>18</v>
      </c>
      <c r="D25" s="80">
        <v>193000</v>
      </c>
      <c r="E25" s="81">
        <f>SUM(F25:I25)</f>
        <v>0</v>
      </c>
      <c r="F25" s="81">
        <v>0</v>
      </c>
      <c r="G25" s="81">
        <v>0</v>
      </c>
      <c r="H25" s="81">
        <v>0</v>
      </c>
      <c r="I25" s="81">
        <v>0</v>
      </c>
      <c r="J25" s="80">
        <v>0</v>
      </c>
      <c r="K25" s="81">
        <f>SUM(L25:O25)</f>
        <v>0</v>
      </c>
      <c r="L25" s="81">
        <v>0</v>
      </c>
      <c r="M25" s="81">
        <v>0</v>
      </c>
      <c r="N25" s="81">
        <v>0</v>
      </c>
      <c r="O25" s="81">
        <v>0</v>
      </c>
      <c r="P25" s="82" t="s">
        <v>16</v>
      </c>
    </row>
    <row r="26" spans="1:16" s="56" customFormat="1" ht="15.75" customHeight="1">
      <c r="A26" s="72"/>
      <c r="B26" s="73" t="s">
        <v>80</v>
      </c>
      <c r="C26" s="74" t="s">
        <v>81</v>
      </c>
      <c r="D26" s="75">
        <f t="shared" ref="D26:O28" si="10">D27</f>
        <v>0</v>
      </c>
      <c r="E26" s="75">
        <f t="shared" si="10"/>
        <v>150000</v>
      </c>
      <c r="F26" s="75">
        <f t="shared" si="10"/>
        <v>150000</v>
      </c>
      <c r="G26" s="75">
        <f t="shared" si="10"/>
        <v>0</v>
      </c>
      <c r="H26" s="75">
        <f t="shared" si="10"/>
        <v>0</v>
      </c>
      <c r="I26" s="75">
        <f t="shared" si="10"/>
        <v>0</v>
      </c>
      <c r="J26" s="75">
        <f t="shared" si="10"/>
        <v>0</v>
      </c>
      <c r="K26" s="75">
        <f t="shared" si="10"/>
        <v>130000</v>
      </c>
      <c r="L26" s="75">
        <f t="shared" si="10"/>
        <v>130000</v>
      </c>
      <c r="M26" s="75">
        <f t="shared" si="10"/>
        <v>0</v>
      </c>
      <c r="N26" s="75">
        <f t="shared" si="10"/>
        <v>0</v>
      </c>
      <c r="O26" s="75">
        <f t="shared" si="10"/>
        <v>0</v>
      </c>
      <c r="P26" s="76"/>
    </row>
    <row r="27" spans="1:16" ht="14.25" customHeight="1">
      <c r="A27" s="77"/>
      <c r="B27" s="83"/>
      <c r="C27" s="84" t="s">
        <v>15</v>
      </c>
      <c r="D27" s="85">
        <v>0</v>
      </c>
      <c r="E27" s="86">
        <f>SUM(F27:I27)</f>
        <v>150000</v>
      </c>
      <c r="F27" s="86">
        <f>20000+130000</f>
        <v>150000</v>
      </c>
      <c r="G27" s="85">
        <v>0</v>
      </c>
      <c r="H27" s="85">
        <v>0</v>
      </c>
      <c r="I27" s="85">
        <v>0</v>
      </c>
      <c r="J27" s="85">
        <v>0</v>
      </c>
      <c r="K27" s="86">
        <f>SUM(L27:O27)</f>
        <v>130000</v>
      </c>
      <c r="L27" s="86">
        <v>130000</v>
      </c>
      <c r="M27" s="85">
        <v>0</v>
      </c>
      <c r="N27" s="85">
        <v>0</v>
      </c>
      <c r="O27" s="85">
        <v>0</v>
      </c>
      <c r="P27" s="87" t="s">
        <v>16</v>
      </c>
    </row>
    <row r="28" spans="1:16" s="56" customFormat="1" ht="15.75" customHeight="1">
      <c r="A28" s="72"/>
      <c r="B28" s="73" t="s">
        <v>128</v>
      </c>
      <c r="C28" s="74" t="s">
        <v>69</v>
      </c>
      <c r="D28" s="75">
        <f t="shared" si="10"/>
        <v>0</v>
      </c>
      <c r="E28" s="75">
        <f t="shared" si="10"/>
        <v>60000</v>
      </c>
      <c r="F28" s="75">
        <f t="shared" si="10"/>
        <v>60000</v>
      </c>
      <c r="G28" s="75">
        <f t="shared" si="10"/>
        <v>0</v>
      </c>
      <c r="H28" s="75">
        <f t="shared" si="10"/>
        <v>0</v>
      </c>
      <c r="I28" s="75">
        <f t="shared" si="10"/>
        <v>0</v>
      </c>
      <c r="J28" s="75">
        <f t="shared" si="10"/>
        <v>0</v>
      </c>
      <c r="K28" s="75">
        <f t="shared" si="10"/>
        <v>60000</v>
      </c>
      <c r="L28" s="75">
        <f t="shared" si="10"/>
        <v>60000</v>
      </c>
      <c r="M28" s="75">
        <f t="shared" si="10"/>
        <v>0</v>
      </c>
      <c r="N28" s="75">
        <f t="shared" si="10"/>
        <v>0</v>
      </c>
      <c r="O28" s="75">
        <f t="shared" si="10"/>
        <v>0</v>
      </c>
      <c r="P28" s="76"/>
    </row>
    <row r="29" spans="1:16" ht="44.25" customHeight="1">
      <c r="A29" s="77"/>
      <c r="B29" s="88"/>
      <c r="C29" s="89" t="s">
        <v>129</v>
      </c>
      <c r="D29" s="86">
        <v>0</v>
      </c>
      <c r="E29" s="86">
        <f>SUM(F29:I29)</f>
        <v>60000</v>
      </c>
      <c r="F29" s="86">
        <v>60000</v>
      </c>
      <c r="G29" s="86">
        <v>0</v>
      </c>
      <c r="H29" s="86">
        <v>0</v>
      </c>
      <c r="I29" s="86">
        <v>0</v>
      </c>
      <c r="J29" s="86">
        <v>0</v>
      </c>
      <c r="K29" s="86">
        <f>SUM(L29:O29)</f>
        <v>60000</v>
      </c>
      <c r="L29" s="86">
        <v>60000</v>
      </c>
      <c r="M29" s="86">
        <v>0</v>
      </c>
      <c r="N29" s="86">
        <v>0</v>
      </c>
      <c r="O29" s="86">
        <v>0</v>
      </c>
      <c r="P29" s="90" t="s">
        <v>140</v>
      </c>
    </row>
    <row r="30" spans="1:16" s="21" customFormat="1" ht="14.25" customHeight="1">
      <c r="A30" s="17" t="s">
        <v>19</v>
      </c>
      <c r="B30" s="17"/>
      <c r="C30" s="18" t="s">
        <v>63</v>
      </c>
      <c r="D30" s="19">
        <f t="shared" ref="D30:O30" si="11">D31</f>
        <v>32000</v>
      </c>
      <c r="E30" s="19">
        <f t="shared" si="11"/>
        <v>0</v>
      </c>
      <c r="F30" s="19">
        <f t="shared" si="11"/>
        <v>0</v>
      </c>
      <c r="G30" s="19">
        <f t="shared" si="11"/>
        <v>0</v>
      </c>
      <c r="H30" s="19">
        <f t="shared" si="11"/>
        <v>0</v>
      </c>
      <c r="I30" s="19">
        <f t="shared" si="11"/>
        <v>0</v>
      </c>
      <c r="J30" s="19">
        <f t="shared" si="11"/>
        <v>0</v>
      </c>
      <c r="K30" s="19">
        <f t="shared" si="11"/>
        <v>0</v>
      </c>
      <c r="L30" s="19">
        <f t="shared" si="11"/>
        <v>0</v>
      </c>
      <c r="M30" s="19">
        <f t="shared" si="11"/>
        <v>0</v>
      </c>
      <c r="N30" s="19">
        <f t="shared" si="11"/>
        <v>0</v>
      </c>
      <c r="O30" s="19">
        <f t="shared" si="11"/>
        <v>0</v>
      </c>
      <c r="P30" s="20"/>
    </row>
    <row r="31" spans="1:16" s="27" customFormat="1" ht="27.75" customHeight="1">
      <c r="A31" s="22"/>
      <c r="B31" s="91" t="s">
        <v>20</v>
      </c>
      <c r="C31" s="92" t="s">
        <v>64</v>
      </c>
      <c r="D31" s="54">
        <f t="shared" ref="D31:O31" si="12">SUM(D32:D32)</f>
        <v>32000</v>
      </c>
      <c r="E31" s="54">
        <f t="shared" si="12"/>
        <v>0</v>
      </c>
      <c r="F31" s="54">
        <f t="shared" si="12"/>
        <v>0</v>
      </c>
      <c r="G31" s="54">
        <f t="shared" si="12"/>
        <v>0</v>
      </c>
      <c r="H31" s="54">
        <f t="shared" si="12"/>
        <v>0</v>
      </c>
      <c r="I31" s="54">
        <f t="shared" si="12"/>
        <v>0</v>
      </c>
      <c r="J31" s="54">
        <f t="shared" si="12"/>
        <v>0</v>
      </c>
      <c r="K31" s="54">
        <f t="shared" si="12"/>
        <v>0</v>
      </c>
      <c r="L31" s="54">
        <f t="shared" si="12"/>
        <v>0</v>
      </c>
      <c r="M31" s="54">
        <f t="shared" si="12"/>
        <v>0</v>
      </c>
      <c r="N31" s="54">
        <f t="shared" si="12"/>
        <v>0</v>
      </c>
      <c r="O31" s="54">
        <f t="shared" si="12"/>
        <v>0</v>
      </c>
      <c r="P31" s="26"/>
    </row>
    <row r="32" spans="1:16" ht="28.5" customHeight="1">
      <c r="A32" s="57"/>
      <c r="B32" s="63"/>
      <c r="C32" s="79" t="s">
        <v>95</v>
      </c>
      <c r="D32" s="80">
        <f>32000-8000+8000</f>
        <v>32000</v>
      </c>
      <c r="E32" s="81">
        <f>SUM(F32:I32)</f>
        <v>0</v>
      </c>
      <c r="F32" s="81">
        <v>0</v>
      </c>
      <c r="G32" s="81">
        <v>0</v>
      </c>
      <c r="H32" s="81">
        <v>0</v>
      </c>
      <c r="I32" s="81">
        <v>0</v>
      </c>
      <c r="J32" s="80">
        <v>0</v>
      </c>
      <c r="K32" s="81">
        <f>SUM(L32:O32)</f>
        <v>0</v>
      </c>
      <c r="L32" s="81">
        <v>0</v>
      </c>
      <c r="M32" s="81">
        <v>0</v>
      </c>
      <c r="N32" s="81">
        <v>0</v>
      </c>
      <c r="O32" s="81">
        <v>0</v>
      </c>
      <c r="P32" s="93" t="s">
        <v>16</v>
      </c>
    </row>
    <row r="33" spans="1:19" s="21" customFormat="1" ht="14.25" customHeight="1">
      <c r="A33" s="17" t="s">
        <v>21</v>
      </c>
      <c r="B33" s="17"/>
      <c r="C33" s="18" t="s">
        <v>65</v>
      </c>
      <c r="D33" s="19">
        <f t="shared" ref="D33:I33" si="13">D34+D38+D83+D70+D85</f>
        <v>176300655</v>
      </c>
      <c r="E33" s="19">
        <f t="shared" si="13"/>
        <v>3948729</v>
      </c>
      <c r="F33" s="19">
        <f t="shared" si="13"/>
        <v>3448729</v>
      </c>
      <c r="G33" s="19">
        <f t="shared" si="13"/>
        <v>0</v>
      </c>
      <c r="H33" s="19">
        <f t="shared" si="13"/>
        <v>500000</v>
      </c>
      <c r="I33" s="19">
        <f t="shared" si="13"/>
        <v>0</v>
      </c>
      <c r="J33" s="19">
        <f t="shared" ref="J33:O33" si="14">J34+J38+J83+J70+J85</f>
        <v>173751422</v>
      </c>
      <c r="K33" s="19">
        <f t="shared" si="14"/>
        <v>3612413</v>
      </c>
      <c r="L33" s="19">
        <f t="shared" si="14"/>
        <v>3453005</v>
      </c>
      <c r="M33" s="19">
        <f t="shared" si="14"/>
        <v>0</v>
      </c>
      <c r="N33" s="19">
        <f t="shared" si="14"/>
        <v>159408</v>
      </c>
      <c r="O33" s="19">
        <f t="shared" si="14"/>
        <v>0</v>
      </c>
      <c r="P33" s="20"/>
    </row>
    <row r="34" spans="1:19" s="27" customFormat="1" ht="15.75" customHeight="1">
      <c r="A34" s="22"/>
      <c r="B34" s="52" t="s">
        <v>22</v>
      </c>
      <c r="C34" s="53" t="s">
        <v>66</v>
      </c>
      <c r="D34" s="54">
        <f t="shared" ref="D34:I34" si="15">SUM(D35:D37)</f>
        <v>16364995</v>
      </c>
      <c r="E34" s="54">
        <f t="shared" si="15"/>
        <v>0</v>
      </c>
      <c r="F34" s="54">
        <f t="shared" si="15"/>
        <v>0</v>
      </c>
      <c r="G34" s="54">
        <f t="shared" si="15"/>
        <v>0</v>
      </c>
      <c r="H34" s="54">
        <f t="shared" si="15"/>
        <v>0</v>
      </c>
      <c r="I34" s="54">
        <f t="shared" si="15"/>
        <v>0</v>
      </c>
      <c r="J34" s="54">
        <f t="shared" ref="J34:O34" si="16">SUM(J35:J37)</f>
        <v>15663249</v>
      </c>
      <c r="K34" s="54">
        <f t="shared" si="16"/>
        <v>0</v>
      </c>
      <c r="L34" s="54">
        <f t="shared" si="16"/>
        <v>0</v>
      </c>
      <c r="M34" s="54">
        <f t="shared" si="16"/>
        <v>0</v>
      </c>
      <c r="N34" s="54">
        <f t="shared" si="16"/>
        <v>0</v>
      </c>
      <c r="O34" s="54">
        <f t="shared" si="16"/>
        <v>0</v>
      </c>
      <c r="P34" s="26"/>
    </row>
    <row r="35" spans="1:19" ht="26.25" customHeight="1">
      <c r="A35" s="57"/>
      <c r="B35" s="63"/>
      <c r="C35" s="30" t="s">
        <v>23</v>
      </c>
      <c r="D35" s="31">
        <v>3873249</v>
      </c>
      <c r="E35" s="31">
        <f>SUM(F35:I35)</f>
        <v>0</v>
      </c>
      <c r="F35" s="31">
        <v>0</v>
      </c>
      <c r="G35" s="31">
        <v>0</v>
      </c>
      <c r="H35" s="31">
        <v>0</v>
      </c>
      <c r="I35" s="31">
        <v>0</v>
      </c>
      <c r="J35" s="31">
        <v>3873249</v>
      </c>
      <c r="K35" s="31">
        <f>SUM(L35:O35)</f>
        <v>0</v>
      </c>
      <c r="L35" s="31">
        <v>0</v>
      </c>
      <c r="M35" s="31">
        <v>0</v>
      </c>
      <c r="N35" s="31">
        <v>0</v>
      </c>
      <c r="O35" s="31">
        <v>0</v>
      </c>
      <c r="P35" s="33" t="s">
        <v>16</v>
      </c>
    </row>
    <row r="36" spans="1:19" s="61" customFormat="1" ht="14.25" customHeight="1">
      <c r="A36" s="57"/>
      <c r="B36" s="57"/>
      <c r="C36" s="35" t="s">
        <v>97</v>
      </c>
      <c r="D36" s="40">
        <v>11790000</v>
      </c>
      <c r="E36" s="40">
        <f>SUM(F36:I36)</f>
        <v>0</v>
      </c>
      <c r="F36" s="40">
        <v>0</v>
      </c>
      <c r="G36" s="40">
        <v>0</v>
      </c>
      <c r="H36" s="40">
        <v>0</v>
      </c>
      <c r="I36" s="40">
        <v>0</v>
      </c>
      <c r="J36" s="40">
        <v>11790000</v>
      </c>
      <c r="K36" s="40">
        <f>SUM(L36:O36)</f>
        <v>0</v>
      </c>
      <c r="L36" s="40">
        <v>0</v>
      </c>
      <c r="M36" s="40">
        <v>0</v>
      </c>
      <c r="N36" s="40">
        <v>0</v>
      </c>
      <c r="O36" s="40">
        <v>0</v>
      </c>
      <c r="P36" s="38"/>
    </row>
    <row r="37" spans="1:19" s="95" customFormat="1" ht="28.5" customHeight="1">
      <c r="A37" s="66"/>
      <c r="B37" s="94"/>
      <c r="C37" s="48" t="s">
        <v>98</v>
      </c>
      <c r="D37" s="49">
        <v>701746</v>
      </c>
      <c r="E37" s="49">
        <f>SUM(F37:I37)</f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f>SUM(L37:O37)</f>
        <v>0</v>
      </c>
      <c r="L37" s="49">
        <v>0</v>
      </c>
      <c r="M37" s="49">
        <v>0</v>
      </c>
      <c r="N37" s="49">
        <v>0</v>
      </c>
      <c r="O37" s="49">
        <v>0</v>
      </c>
      <c r="P37" s="50"/>
      <c r="Q37" s="1"/>
    </row>
    <row r="38" spans="1:19" s="27" customFormat="1" ht="15.75" customHeight="1">
      <c r="A38" s="51"/>
      <c r="B38" s="96" t="s">
        <v>24</v>
      </c>
      <c r="C38" s="97" t="s">
        <v>67</v>
      </c>
      <c r="D38" s="98">
        <f>SUM(D39:D82)</f>
        <v>156561312</v>
      </c>
      <c r="E38" s="98">
        <f t="shared" ref="E38:I38" si="17">SUM(E39:E82)</f>
        <v>3948729</v>
      </c>
      <c r="F38" s="98">
        <f t="shared" si="17"/>
        <v>3448729</v>
      </c>
      <c r="G38" s="98">
        <f t="shared" si="17"/>
        <v>0</v>
      </c>
      <c r="H38" s="98">
        <f t="shared" si="17"/>
        <v>500000</v>
      </c>
      <c r="I38" s="98">
        <f t="shared" si="17"/>
        <v>0</v>
      </c>
      <c r="J38" s="98">
        <f>SUM(J39:J82)</f>
        <v>154867851</v>
      </c>
      <c r="K38" s="98">
        <f t="shared" ref="K38:O38" si="18">SUM(K39:K82)</f>
        <v>3612413</v>
      </c>
      <c r="L38" s="98">
        <f t="shared" si="18"/>
        <v>3453005</v>
      </c>
      <c r="M38" s="98">
        <f t="shared" si="18"/>
        <v>0</v>
      </c>
      <c r="N38" s="98">
        <f t="shared" si="18"/>
        <v>159408</v>
      </c>
      <c r="O38" s="98">
        <f t="shared" si="18"/>
        <v>0</v>
      </c>
      <c r="P38" s="99"/>
    </row>
    <row r="39" spans="1:19" s="95" customFormat="1" ht="39" customHeight="1">
      <c r="A39" s="66"/>
      <c r="B39" s="100"/>
      <c r="C39" s="30" t="s">
        <v>108</v>
      </c>
      <c r="D39" s="31">
        <f>4000000+3528400-2420000</f>
        <v>5108400</v>
      </c>
      <c r="E39" s="31">
        <f t="shared" ref="E39:E41" si="19">SUM(F39:I39)</f>
        <v>0</v>
      </c>
      <c r="F39" s="31">
        <v>0</v>
      </c>
      <c r="G39" s="31">
        <v>0</v>
      </c>
      <c r="H39" s="31">
        <v>0</v>
      </c>
      <c r="I39" s="31">
        <v>0</v>
      </c>
      <c r="J39" s="31">
        <f>4384271+724129</f>
        <v>5108400</v>
      </c>
      <c r="K39" s="31">
        <f t="shared" ref="K39:K41" si="20">SUM(L39:O39)</f>
        <v>0</v>
      </c>
      <c r="L39" s="31">
        <v>0</v>
      </c>
      <c r="M39" s="31">
        <v>0</v>
      </c>
      <c r="N39" s="31">
        <v>0</v>
      </c>
      <c r="O39" s="31">
        <v>0</v>
      </c>
      <c r="P39" s="33" t="s">
        <v>25</v>
      </c>
    </row>
    <row r="40" spans="1:19" s="95" customFormat="1" ht="27" hidden="1" customHeight="1">
      <c r="A40" s="66"/>
      <c r="B40" s="101"/>
      <c r="C40" s="102" t="s">
        <v>109</v>
      </c>
      <c r="D40" s="36">
        <f>2000000-2000000</f>
        <v>0</v>
      </c>
      <c r="E40" s="65">
        <f t="shared" si="19"/>
        <v>0</v>
      </c>
      <c r="F40" s="36">
        <v>0</v>
      </c>
      <c r="G40" s="36">
        <v>0</v>
      </c>
      <c r="H40" s="36">
        <v>0</v>
      </c>
      <c r="I40" s="36">
        <v>0</v>
      </c>
      <c r="J40" s="36">
        <f>2000000-2000000</f>
        <v>0</v>
      </c>
      <c r="K40" s="65">
        <f t="shared" si="20"/>
        <v>0</v>
      </c>
      <c r="L40" s="36">
        <v>0</v>
      </c>
      <c r="M40" s="36">
        <v>0</v>
      </c>
      <c r="N40" s="36">
        <v>0</v>
      </c>
      <c r="O40" s="36">
        <v>0</v>
      </c>
      <c r="P40" s="38"/>
    </row>
    <row r="41" spans="1:19" s="95" customFormat="1" ht="41.25" customHeight="1">
      <c r="A41" s="103"/>
      <c r="B41" s="94"/>
      <c r="C41" s="104" t="s">
        <v>110</v>
      </c>
      <c r="D41" s="49">
        <f>3000000-2958795</f>
        <v>41205</v>
      </c>
      <c r="E41" s="86">
        <f t="shared" si="19"/>
        <v>0</v>
      </c>
      <c r="F41" s="49">
        <v>0</v>
      </c>
      <c r="G41" s="49">
        <v>0</v>
      </c>
      <c r="H41" s="49">
        <v>0</v>
      </c>
      <c r="I41" s="49">
        <v>0</v>
      </c>
      <c r="J41" s="49">
        <v>36900</v>
      </c>
      <c r="K41" s="86">
        <f t="shared" si="20"/>
        <v>0</v>
      </c>
      <c r="L41" s="49">
        <v>0</v>
      </c>
      <c r="M41" s="49">
        <v>0</v>
      </c>
      <c r="N41" s="49">
        <v>0</v>
      </c>
      <c r="O41" s="49">
        <v>0</v>
      </c>
      <c r="P41" s="50"/>
    </row>
    <row r="42" spans="1:19" s="95" customFormat="1" ht="91.5" customHeight="1">
      <c r="A42" s="105"/>
      <c r="B42" s="105"/>
      <c r="C42" s="106" t="s">
        <v>111</v>
      </c>
      <c r="D42" s="31">
        <v>0</v>
      </c>
      <c r="E42" s="31">
        <f>SUM(F42:I42)</f>
        <v>1945289</v>
      </c>
      <c r="F42" s="31">
        <f>4350000-400000-268000-1568763-7948-160000</f>
        <v>1945289</v>
      </c>
      <c r="G42" s="31">
        <v>0</v>
      </c>
      <c r="H42" s="31">
        <v>0</v>
      </c>
      <c r="I42" s="31">
        <v>0</v>
      </c>
      <c r="J42" s="31">
        <v>0</v>
      </c>
      <c r="K42" s="31">
        <f>SUM(L42:O42)</f>
        <v>1945241</v>
      </c>
      <c r="L42" s="31">
        <f>1502653+442588</f>
        <v>1945241</v>
      </c>
      <c r="M42" s="31">
        <v>0</v>
      </c>
      <c r="N42" s="31">
        <v>0</v>
      </c>
      <c r="O42" s="31">
        <v>0</v>
      </c>
      <c r="P42" s="107" t="s">
        <v>25</v>
      </c>
    </row>
    <row r="43" spans="1:19" s="95" customFormat="1" ht="25.5">
      <c r="A43" s="108"/>
      <c r="B43" s="108"/>
      <c r="C43" s="109" t="s">
        <v>167</v>
      </c>
      <c r="D43" s="65">
        <v>0</v>
      </c>
      <c r="E43" s="65">
        <f t="shared" ref="E43:E82" si="21">SUM(F43:I43)</f>
        <v>274536</v>
      </c>
      <c r="F43" s="65">
        <f>400000-125464</f>
        <v>274536</v>
      </c>
      <c r="G43" s="65"/>
      <c r="H43" s="65"/>
      <c r="I43" s="65"/>
      <c r="J43" s="65">
        <v>0</v>
      </c>
      <c r="K43" s="65">
        <f t="shared" ref="K43:K46" si="22">SUM(L43:O43)</f>
        <v>274536</v>
      </c>
      <c r="L43" s="65">
        <v>274536</v>
      </c>
      <c r="M43" s="65"/>
      <c r="N43" s="65"/>
      <c r="O43" s="65"/>
      <c r="P43" s="110"/>
    </row>
    <row r="44" spans="1:19" s="67" customFormat="1" ht="14.25" customHeight="1">
      <c r="A44" s="111"/>
      <c r="B44" s="111"/>
      <c r="C44" s="112" t="s">
        <v>112</v>
      </c>
      <c r="D44" s="40">
        <f>320681+30000+11725588-106000-4353513</f>
        <v>7616756</v>
      </c>
      <c r="E44" s="65">
        <f t="shared" si="21"/>
        <v>0</v>
      </c>
      <c r="F44" s="40">
        <v>0</v>
      </c>
      <c r="G44" s="40">
        <v>0</v>
      </c>
      <c r="H44" s="40">
        <v>0</v>
      </c>
      <c r="I44" s="40">
        <v>0</v>
      </c>
      <c r="J44" s="40">
        <f>5072613+2465763</f>
        <v>7538376</v>
      </c>
      <c r="K44" s="65">
        <f t="shared" si="22"/>
        <v>0</v>
      </c>
      <c r="L44" s="40">
        <v>0</v>
      </c>
      <c r="M44" s="40">
        <v>0</v>
      </c>
      <c r="N44" s="40">
        <v>0</v>
      </c>
      <c r="O44" s="40">
        <v>0</v>
      </c>
      <c r="P44" s="110"/>
      <c r="S44" s="67" t="s">
        <v>105</v>
      </c>
    </row>
    <row r="45" spans="1:19" s="95" customFormat="1" ht="27.75" customHeight="1">
      <c r="A45" s="108"/>
      <c r="B45" s="108"/>
      <c r="C45" s="113" t="s">
        <v>113</v>
      </c>
      <c r="D45" s="36">
        <f>125000-46716</f>
        <v>78284</v>
      </c>
      <c r="E45" s="36">
        <f t="shared" si="21"/>
        <v>0</v>
      </c>
      <c r="F45" s="36">
        <v>0</v>
      </c>
      <c r="G45" s="36">
        <v>0</v>
      </c>
      <c r="H45" s="36">
        <v>0</v>
      </c>
      <c r="I45" s="36">
        <v>0</v>
      </c>
      <c r="J45" s="36">
        <v>78284</v>
      </c>
      <c r="K45" s="36">
        <f t="shared" si="22"/>
        <v>0</v>
      </c>
      <c r="L45" s="36">
        <v>0</v>
      </c>
      <c r="M45" s="36">
        <v>0</v>
      </c>
      <c r="N45" s="36">
        <v>0</v>
      </c>
      <c r="O45" s="36">
        <v>0</v>
      </c>
      <c r="P45" s="110"/>
    </row>
    <row r="46" spans="1:19" s="95" customFormat="1" ht="26.25" customHeight="1">
      <c r="A46" s="108"/>
      <c r="B46" s="108"/>
      <c r="C46" s="109" t="s">
        <v>130</v>
      </c>
      <c r="D46" s="65">
        <f>100000-100000</f>
        <v>0</v>
      </c>
      <c r="E46" s="65">
        <f t="shared" si="21"/>
        <v>59636</v>
      </c>
      <c r="F46" s="65">
        <f>100000-40364</f>
        <v>59636</v>
      </c>
      <c r="G46" s="65">
        <v>0</v>
      </c>
      <c r="H46" s="65">
        <v>0</v>
      </c>
      <c r="I46" s="65">
        <v>0</v>
      </c>
      <c r="J46" s="65">
        <f>100000-100000</f>
        <v>0</v>
      </c>
      <c r="K46" s="65">
        <f t="shared" si="22"/>
        <v>59636</v>
      </c>
      <c r="L46" s="65">
        <v>59636</v>
      </c>
      <c r="M46" s="65">
        <v>0</v>
      </c>
      <c r="N46" s="65">
        <v>0</v>
      </c>
      <c r="O46" s="65">
        <v>0</v>
      </c>
      <c r="P46" s="110"/>
    </row>
    <row r="47" spans="1:19" s="95" customFormat="1" ht="26.25" customHeight="1">
      <c r="A47" s="108"/>
      <c r="B47" s="108"/>
      <c r="C47" s="109" t="s">
        <v>168</v>
      </c>
      <c r="D47" s="65">
        <f>280000+327100+275457</f>
        <v>882557</v>
      </c>
      <c r="E47" s="65"/>
      <c r="F47" s="65"/>
      <c r="G47" s="65">
        <v>0</v>
      </c>
      <c r="H47" s="65">
        <v>0</v>
      </c>
      <c r="I47" s="65">
        <v>0</v>
      </c>
      <c r="J47" s="65">
        <f>483272+399285</f>
        <v>882557</v>
      </c>
      <c r="K47" s="65"/>
      <c r="L47" s="65"/>
      <c r="M47" s="65">
        <v>0</v>
      </c>
      <c r="N47" s="65">
        <v>0</v>
      </c>
      <c r="O47" s="65">
        <v>0</v>
      </c>
      <c r="P47" s="110"/>
    </row>
    <row r="48" spans="1:19" s="95" customFormat="1" ht="27" customHeight="1">
      <c r="A48" s="108"/>
      <c r="B48" s="108"/>
      <c r="C48" s="114" t="s">
        <v>26</v>
      </c>
      <c r="D48" s="65">
        <f>53991482+70553+732123-38121819-808292+880</f>
        <v>15864927</v>
      </c>
      <c r="E48" s="65">
        <f t="shared" si="21"/>
        <v>0</v>
      </c>
      <c r="F48" s="65">
        <v>0</v>
      </c>
      <c r="G48" s="65">
        <v>0</v>
      </c>
      <c r="H48" s="65">
        <v>0</v>
      </c>
      <c r="I48" s="65">
        <v>0</v>
      </c>
      <c r="J48" s="65">
        <f>4727301+11136884</f>
        <v>15864185</v>
      </c>
      <c r="K48" s="65">
        <f t="shared" ref="K48:K72" si="23">SUM(L48:O48)</f>
        <v>0</v>
      </c>
      <c r="L48" s="65">
        <v>0</v>
      </c>
      <c r="M48" s="65">
        <v>0</v>
      </c>
      <c r="N48" s="65">
        <v>0</v>
      </c>
      <c r="O48" s="65">
        <v>0</v>
      </c>
      <c r="P48" s="110"/>
    </row>
    <row r="49" spans="1:16" s="95" customFormat="1" ht="27" customHeight="1">
      <c r="A49" s="108"/>
      <c r="B49" s="108"/>
      <c r="C49" s="115" t="s">
        <v>27</v>
      </c>
      <c r="D49" s="36">
        <f>14545527+1043296-1043296-287720+1264964-411257+742635-14355938+44458+499236</f>
        <v>2041905</v>
      </c>
      <c r="E49" s="65">
        <f t="shared" si="21"/>
        <v>0</v>
      </c>
      <c r="F49" s="36">
        <v>0</v>
      </c>
      <c r="G49" s="36">
        <v>0</v>
      </c>
      <c r="H49" s="36">
        <v>0</v>
      </c>
      <c r="I49" s="36">
        <v>0</v>
      </c>
      <c r="J49" s="36">
        <v>2041905</v>
      </c>
      <c r="K49" s="65">
        <f t="shared" si="23"/>
        <v>0</v>
      </c>
      <c r="L49" s="36">
        <v>0</v>
      </c>
      <c r="M49" s="36">
        <v>0</v>
      </c>
      <c r="N49" s="36">
        <v>0</v>
      </c>
      <c r="O49" s="36">
        <v>0</v>
      </c>
      <c r="P49" s="110"/>
    </row>
    <row r="50" spans="1:16" s="95" customFormat="1" ht="27" customHeight="1">
      <c r="A50" s="108"/>
      <c r="B50" s="108"/>
      <c r="C50" s="115" t="s">
        <v>28</v>
      </c>
      <c r="D50" s="36">
        <f>11963996+1043296-1043296-421824+1039997-152724+610138-11807973+36390</f>
        <v>1268000</v>
      </c>
      <c r="E50" s="65">
        <f t="shared" si="21"/>
        <v>0</v>
      </c>
      <c r="F50" s="36">
        <v>0</v>
      </c>
      <c r="G50" s="36">
        <v>0</v>
      </c>
      <c r="H50" s="36">
        <v>0</v>
      </c>
      <c r="I50" s="36">
        <v>0</v>
      </c>
      <c r="J50" s="36">
        <f>7500+1260500</f>
        <v>1268000</v>
      </c>
      <c r="K50" s="65">
        <f t="shared" si="23"/>
        <v>0</v>
      </c>
      <c r="L50" s="36">
        <v>0</v>
      </c>
      <c r="M50" s="36">
        <v>0</v>
      </c>
      <c r="N50" s="36">
        <v>0</v>
      </c>
      <c r="O50" s="36">
        <v>0</v>
      </c>
      <c r="P50" s="110"/>
    </row>
    <row r="51" spans="1:16" s="67" customFormat="1" ht="14.25" customHeight="1">
      <c r="A51" s="111"/>
      <c r="B51" s="111"/>
      <c r="C51" s="116" t="s">
        <v>29</v>
      </c>
      <c r="D51" s="40">
        <f>3320440+500000-500000-2325708+2600</f>
        <v>997332</v>
      </c>
      <c r="E51" s="65">
        <f t="shared" si="21"/>
        <v>0</v>
      </c>
      <c r="F51" s="40">
        <v>0</v>
      </c>
      <c r="G51" s="40">
        <v>0</v>
      </c>
      <c r="H51" s="40">
        <v>0</v>
      </c>
      <c r="I51" s="40">
        <v>0</v>
      </c>
      <c r="J51" s="40">
        <v>997332</v>
      </c>
      <c r="K51" s="65">
        <f t="shared" si="23"/>
        <v>0</v>
      </c>
      <c r="L51" s="40">
        <v>0</v>
      </c>
      <c r="M51" s="40">
        <v>0</v>
      </c>
      <c r="N51" s="40">
        <v>0</v>
      </c>
      <c r="O51" s="40">
        <v>0</v>
      </c>
      <c r="P51" s="110"/>
    </row>
    <row r="52" spans="1:16" s="95" customFormat="1" ht="27.75" customHeight="1">
      <c r="A52" s="108"/>
      <c r="B52" s="108"/>
      <c r="C52" s="115" t="s">
        <v>30</v>
      </c>
      <c r="D52" s="36">
        <f>9938644-8908527-35052</f>
        <v>995065</v>
      </c>
      <c r="E52" s="65">
        <f t="shared" si="21"/>
        <v>0</v>
      </c>
      <c r="F52" s="36">
        <v>0</v>
      </c>
      <c r="G52" s="36">
        <v>0</v>
      </c>
      <c r="H52" s="36">
        <v>0</v>
      </c>
      <c r="I52" s="36">
        <v>0</v>
      </c>
      <c r="J52" s="36">
        <v>995065</v>
      </c>
      <c r="K52" s="65">
        <f t="shared" si="23"/>
        <v>0</v>
      </c>
      <c r="L52" s="36">
        <v>0</v>
      </c>
      <c r="M52" s="36">
        <v>0</v>
      </c>
      <c r="N52" s="36">
        <v>0</v>
      </c>
      <c r="O52" s="36">
        <v>0</v>
      </c>
      <c r="P52" s="110"/>
    </row>
    <row r="53" spans="1:16" s="67" customFormat="1" ht="14.25" customHeight="1">
      <c r="A53" s="111"/>
      <c r="B53" s="111"/>
      <c r="C53" s="116" t="s">
        <v>31</v>
      </c>
      <c r="D53" s="40">
        <f>13231840-11854363-53193</f>
        <v>1324284</v>
      </c>
      <c r="E53" s="65">
        <f t="shared" si="21"/>
        <v>0</v>
      </c>
      <c r="F53" s="40">
        <v>0</v>
      </c>
      <c r="G53" s="40">
        <v>0</v>
      </c>
      <c r="H53" s="40">
        <v>0</v>
      </c>
      <c r="I53" s="40">
        <v>0</v>
      </c>
      <c r="J53" s="40">
        <v>1324284</v>
      </c>
      <c r="K53" s="65">
        <f t="shared" si="23"/>
        <v>0</v>
      </c>
      <c r="L53" s="40">
        <v>0</v>
      </c>
      <c r="M53" s="40">
        <v>0</v>
      </c>
      <c r="N53" s="40">
        <v>0</v>
      </c>
      <c r="O53" s="40">
        <v>0</v>
      </c>
      <c r="P53" s="110"/>
    </row>
    <row r="54" spans="1:16" s="67" customFormat="1" ht="25.5">
      <c r="A54" s="111"/>
      <c r="B54" s="111"/>
      <c r="C54" s="116" t="s">
        <v>120</v>
      </c>
      <c r="D54" s="40">
        <f>3126492+639483+505591-1436323-974916+974916-505591-1125582</f>
        <v>1204070</v>
      </c>
      <c r="E54" s="65">
        <f t="shared" si="21"/>
        <v>0</v>
      </c>
      <c r="F54" s="40">
        <v>0</v>
      </c>
      <c r="G54" s="40">
        <v>0</v>
      </c>
      <c r="H54" s="40">
        <v>0</v>
      </c>
      <c r="I54" s="40">
        <v>0</v>
      </c>
      <c r="J54" s="40">
        <v>1082277</v>
      </c>
      <c r="K54" s="65">
        <f t="shared" si="23"/>
        <v>0</v>
      </c>
      <c r="L54" s="40">
        <v>0</v>
      </c>
      <c r="M54" s="40">
        <v>0</v>
      </c>
      <c r="N54" s="40">
        <v>0</v>
      </c>
      <c r="O54" s="40">
        <v>0</v>
      </c>
      <c r="P54" s="110"/>
    </row>
    <row r="55" spans="1:16" s="95" customFormat="1" ht="27.75" customHeight="1">
      <c r="A55" s="108"/>
      <c r="B55" s="108"/>
      <c r="C55" s="115" t="s">
        <v>121</v>
      </c>
      <c r="D55" s="36">
        <f>5414802+520320-520320+8075-4332482+350000+1000</f>
        <v>1441395</v>
      </c>
      <c r="E55" s="36">
        <f t="shared" si="21"/>
        <v>0</v>
      </c>
      <c r="F55" s="36">
        <v>0</v>
      </c>
      <c r="G55" s="36">
        <v>0</v>
      </c>
      <c r="H55" s="36">
        <v>0</v>
      </c>
      <c r="I55" s="36">
        <v>0</v>
      </c>
      <c r="J55" s="36">
        <f>1224608+167500</f>
        <v>1392108</v>
      </c>
      <c r="K55" s="36">
        <f t="shared" si="23"/>
        <v>0</v>
      </c>
      <c r="L55" s="36">
        <v>0</v>
      </c>
      <c r="M55" s="36">
        <v>0</v>
      </c>
      <c r="N55" s="36">
        <v>0</v>
      </c>
      <c r="O55" s="36">
        <v>0</v>
      </c>
      <c r="P55" s="110"/>
    </row>
    <row r="56" spans="1:16" s="95" customFormat="1" ht="27.75" customHeight="1">
      <c r="A56" s="108"/>
      <c r="B56" s="108"/>
      <c r="C56" s="114" t="s">
        <v>32</v>
      </c>
      <c r="D56" s="65">
        <f>13870148+33210-10606645-257403-1651035-10000+2000</f>
        <v>1380275</v>
      </c>
      <c r="E56" s="65">
        <f t="shared" si="21"/>
        <v>0</v>
      </c>
      <c r="F56" s="65">
        <v>0</v>
      </c>
      <c r="G56" s="65">
        <v>0</v>
      </c>
      <c r="H56" s="65">
        <v>0</v>
      </c>
      <c r="I56" s="65">
        <v>0</v>
      </c>
      <c r="J56" s="65">
        <f>309189+1071085</f>
        <v>1380274</v>
      </c>
      <c r="K56" s="65">
        <f t="shared" si="23"/>
        <v>0</v>
      </c>
      <c r="L56" s="65">
        <v>0</v>
      </c>
      <c r="M56" s="65">
        <v>0</v>
      </c>
      <c r="N56" s="65">
        <v>0</v>
      </c>
      <c r="O56" s="65">
        <v>0</v>
      </c>
      <c r="P56" s="110"/>
    </row>
    <row r="57" spans="1:16" s="95" customFormat="1" ht="27.75" customHeight="1">
      <c r="A57" s="108"/>
      <c r="B57" s="108"/>
      <c r="C57" s="114" t="s">
        <v>33</v>
      </c>
      <c r="D57" s="65">
        <f>18192596+1546712-875152+875652-15506143-2413305</f>
        <v>1820360</v>
      </c>
      <c r="E57" s="65">
        <f t="shared" si="21"/>
        <v>0</v>
      </c>
      <c r="F57" s="65">
        <v>0</v>
      </c>
      <c r="G57" s="65">
        <v>0</v>
      </c>
      <c r="H57" s="65">
        <v>0</v>
      </c>
      <c r="I57" s="65">
        <v>0</v>
      </c>
      <c r="J57" s="65">
        <f>15683+1804677</f>
        <v>1820360</v>
      </c>
      <c r="K57" s="65">
        <f t="shared" si="23"/>
        <v>0</v>
      </c>
      <c r="L57" s="65">
        <v>0</v>
      </c>
      <c r="M57" s="65">
        <v>0</v>
      </c>
      <c r="N57" s="65">
        <v>0</v>
      </c>
      <c r="O57" s="65">
        <v>0</v>
      </c>
      <c r="P57" s="110"/>
    </row>
    <row r="58" spans="1:16" s="95" customFormat="1" ht="27.75" customHeight="1">
      <c r="A58" s="108"/>
      <c r="B58" s="108"/>
      <c r="C58" s="115" t="s">
        <v>34</v>
      </c>
      <c r="D58" s="36">
        <f>16640365-14715616-259612</f>
        <v>1665137</v>
      </c>
      <c r="E58" s="65">
        <f t="shared" si="21"/>
        <v>0</v>
      </c>
      <c r="F58" s="36">
        <v>0</v>
      </c>
      <c r="G58" s="36">
        <v>0</v>
      </c>
      <c r="H58" s="36">
        <v>0</v>
      </c>
      <c r="I58" s="36">
        <v>0</v>
      </c>
      <c r="J58" s="36">
        <v>1665137</v>
      </c>
      <c r="K58" s="65">
        <f t="shared" si="23"/>
        <v>0</v>
      </c>
      <c r="L58" s="36">
        <v>0</v>
      </c>
      <c r="M58" s="36">
        <v>0</v>
      </c>
      <c r="N58" s="36">
        <v>0</v>
      </c>
      <c r="O58" s="36">
        <v>0</v>
      </c>
      <c r="P58" s="110"/>
    </row>
    <row r="59" spans="1:16" s="95" customFormat="1" ht="27.75" customHeight="1">
      <c r="A59" s="108"/>
      <c r="B59" s="108"/>
      <c r="C59" s="115" t="s">
        <v>35</v>
      </c>
      <c r="D59" s="36">
        <f>13420034-11540894-536036</f>
        <v>1343104</v>
      </c>
      <c r="E59" s="65">
        <f t="shared" si="21"/>
        <v>0</v>
      </c>
      <c r="F59" s="36">
        <v>0</v>
      </c>
      <c r="G59" s="36">
        <v>0</v>
      </c>
      <c r="H59" s="36">
        <v>0</v>
      </c>
      <c r="I59" s="36">
        <v>0</v>
      </c>
      <c r="J59" s="36">
        <v>1343104</v>
      </c>
      <c r="K59" s="65">
        <f t="shared" si="23"/>
        <v>0</v>
      </c>
      <c r="L59" s="36">
        <v>0</v>
      </c>
      <c r="M59" s="36">
        <v>0</v>
      </c>
      <c r="N59" s="36">
        <v>0</v>
      </c>
      <c r="O59" s="36">
        <v>0</v>
      </c>
      <c r="P59" s="110"/>
    </row>
    <row r="60" spans="1:16" s="95" customFormat="1" ht="27.75" customHeight="1">
      <c r="A60" s="108"/>
      <c r="B60" s="108"/>
      <c r="C60" s="114" t="s">
        <v>36</v>
      </c>
      <c r="D60" s="65">
        <f>8620470+295177+300000+41808+2560+740+36806-327670+382045-1378-137710</f>
        <v>9212848</v>
      </c>
      <c r="E60" s="65">
        <f t="shared" si="21"/>
        <v>0</v>
      </c>
      <c r="F60" s="65">
        <v>0</v>
      </c>
      <c r="G60" s="65">
        <v>0</v>
      </c>
      <c r="H60" s="65">
        <v>0</v>
      </c>
      <c r="I60" s="65">
        <v>0</v>
      </c>
      <c r="J60" s="65">
        <v>9169427</v>
      </c>
      <c r="K60" s="65">
        <f t="shared" si="23"/>
        <v>0</v>
      </c>
      <c r="L60" s="65">
        <v>0</v>
      </c>
      <c r="M60" s="65">
        <v>0</v>
      </c>
      <c r="N60" s="65">
        <v>0</v>
      </c>
      <c r="O60" s="65">
        <v>0</v>
      </c>
      <c r="P60" s="110"/>
    </row>
    <row r="61" spans="1:16" s="95" customFormat="1" ht="40.5" customHeight="1">
      <c r="A61" s="108"/>
      <c r="B61" s="108"/>
      <c r="C61" s="115" t="s">
        <v>37</v>
      </c>
      <c r="D61" s="36">
        <f>15858584+59889+9131-10284934+1637761+7500000-2832+58572+540000-1526338+350</f>
        <v>13850183</v>
      </c>
      <c r="E61" s="65">
        <f t="shared" si="21"/>
        <v>0</v>
      </c>
      <c r="F61" s="36">
        <v>0</v>
      </c>
      <c r="G61" s="36">
        <v>0</v>
      </c>
      <c r="H61" s="36">
        <v>0</v>
      </c>
      <c r="I61" s="36">
        <v>0</v>
      </c>
      <c r="J61" s="36">
        <f>2845621+10460590</f>
        <v>13306211</v>
      </c>
      <c r="K61" s="65">
        <f t="shared" si="23"/>
        <v>0</v>
      </c>
      <c r="L61" s="36">
        <v>0</v>
      </c>
      <c r="M61" s="36">
        <v>0</v>
      </c>
      <c r="N61" s="36">
        <v>0</v>
      </c>
      <c r="O61" s="36">
        <v>0</v>
      </c>
      <c r="P61" s="110"/>
    </row>
    <row r="62" spans="1:16" s="95" customFormat="1" ht="40.5" customHeight="1">
      <c r="A62" s="108"/>
      <c r="B62" s="108"/>
      <c r="C62" s="115" t="s">
        <v>114</v>
      </c>
      <c r="D62" s="36">
        <f>35598724-63757-100000+53537+295959-6556387+4115301-15713+98855-116763+660</f>
        <v>33310416</v>
      </c>
      <c r="E62" s="65">
        <f t="shared" si="21"/>
        <v>0</v>
      </c>
      <c r="F62" s="36">
        <v>0</v>
      </c>
      <c r="G62" s="36">
        <v>0</v>
      </c>
      <c r="H62" s="36">
        <v>0</v>
      </c>
      <c r="I62" s="36">
        <v>0</v>
      </c>
      <c r="J62" s="36">
        <f>26916468+6384380</f>
        <v>33300848</v>
      </c>
      <c r="K62" s="65">
        <f t="shared" si="23"/>
        <v>0</v>
      </c>
      <c r="L62" s="36">
        <v>0</v>
      </c>
      <c r="M62" s="36">
        <v>0</v>
      </c>
      <c r="N62" s="36">
        <v>0</v>
      </c>
      <c r="O62" s="36">
        <v>0</v>
      </c>
      <c r="P62" s="110"/>
    </row>
    <row r="63" spans="1:16" s="95" customFormat="1" ht="27.75" customHeight="1">
      <c r="A63" s="108"/>
      <c r="B63" s="108"/>
      <c r="C63" s="115" t="s">
        <v>38</v>
      </c>
      <c r="D63" s="36">
        <f>17761290+59889+3172085-1432797+6655-16038382</f>
        <v>3528740</v>
      </c>
      <c r="E63" s="36">
        <f t="shared" si="21"/>
        <v>0</v>
      </c>
      <c r="F63" s="36">
        <v>0</v>
      </c>
      <c r="G63" s="36">
        <v>0</v>
      </c>
      <c r="H63" s="36">
        <v>0</v>
      </c>
      <c r="I63" s="36">
        <v>0</v>
      </c>
      <c r="J63" s="36">
        <f>2408599+1120140</f>
        <v>3528739</v>
      </c>
      <c r="K63" s="36">
        <f t="shared" si="23"/>
        <v>0</v>
      </c>
      <c r="L63" s="36">
        <v>0</v>
      </c>
      <c r="M63" s="36">
        <v>0</v>
      </c>
      <c r="N63" s="36">
        <v>0</v>
      </c>
      <c r="O63" s="36">
        <v>0</v>
      </c>
      <c r="P63" s="110"/>
    </row>
    <row r="64" spans="1:16" s="95" customFormat="1" ht="39.75" customHeight="1">
      <c r="A64" s="108"/>
      <c r="B64" s="108"/>
      <c r="C64" s="114" t="s">
        <v>115</v>
      </c>
      <c r="D64" s="65">
        <f>20905866+67689+100000+11670+3203341-3203341-16636793+66000+9301071-2560+74313+40000-1101722-7650+8030</f>
        <v>12825914</v>
      </c>
      <c r="E64" s="65">
        <f t="shared" si="21"/>
        <v>0</v>
      </c>
      <c r="F64" s="65">
        <v>0</v>
      </c>
      <c r="G64" s="65">
        <v>0</v>
      </c>
      <c r="H64" s="65">
        <v>0</v>
      </c>
      <c r="I64" s="65">
        <v>0</v>
      </c>
      <c r="J64" s="65">
        <f>1335015+11450898</f>
        <v>12785913</v>
      </c>
      <c r="K64" s="65">
        <f t="shared" si="23"/>
        <v>0</v>
      </c>
      <c r="L64" s="65">
        <v>0</v>
      </c>
      <c r="M64" s="65">
        <v>0</v>
      </c>
      <c r="N64" s="65">
        <v>0</v>
      </c>
      <c r="O64" s="65">
        <v>0</v>
      </c>
      <c r="P64" s="110"/>
    </row>
    <row r="65" spans="1:16" s="95" customFormat="1" ht="27" customHeight="1">
      <c r="A65" s="108"/>
      <c r="B65" s="108"/>
      <c r="C65" s="114" t="s">
        <v>39</v>
      </c>
      <c r="D65" s="65">
        <f>42750263-300000-1738888+40000-5000000+850000-1146731+1156651+800000-680735-25240+165328</f>
        <v>36870648</v>
      </c>
      <c r="E65" s="65">
        <f t="shared" si="21"/>
        <v>0</v>
      </c>
      <c r="F65" s="65">
        <v>0</v>
      </c>
      <c r="G65" s="65">
        <v>0</v>
      </c>
      <c r="H65" s="65">
        <v>0</v>
      </c>
      <c r="I65" s="65">
        <v>0</v>
      </c>
      <c r="J65" s="65">
        <f>35146043+925983</f>
        <v>36072026</v>
      </c>
      <c r="K65" s="65">
        <f t="shared" si="23"/>
        <v>0</v>
      </c>
      <c r="L65" s="65">
        <v>0</v>
      </c>
      <c r="M65" s="65">
        <v>0</v>
      </c>
      <c r="N65" s="65">
        <v>0</v>
      </c>
      <c r="O65" s="65">
        <v>0</v>
      </c>
      <c r="P65" s="110"/>
    </row>
    <row r="66" spans="1:16" s="95" customFormat="1" ht="26.25" customHeight="1">
      <c r="A66" s="108"/>
      <c r="B66" s="108"/>
      <c r="C66" s="114" t="s">
        <v>40</v>
      </c>
      <c r="D66" s="65">
        <f>4150035+416104-414104-2799563+257403-936368</f>
        <v>673507</v>
      </c>
      <c r="E66" s="65">
        <f t="shared" si="21"/>
        <v>0</v>
      </c>
      <c r="F66" s="65">
        <v>0</v>
      </c>
      <c r="G66" s="65">
        <v>0</v>
      </c>
      <c r="H66" s="65">
        <v>0</v>
      </c>
      <c r="I66" s="65">
        <v>0</v>
      </c>
      <c r="J66" s="65">
        <v>673507</v>
      </c>
      <c r="K66" s="65">
        <f t="shared" si="23"/>
        <v>0</v>
      </c>
      <c r="L66" s="65">
        <v>0</v>
      </c>
      <c r="M66" s="65">
        <v>0</v>
      </c>
      <c r="N66" s="65">
        <v>0</v>
      </c>
      <c r="O66" s="65">
        <v>0</v>
      </c>
      <c r="P66" s="110"/>
    </row>
    <row r="67" spans="1:16" s="95" customFormat="1" ht="26.25" customHeight="1">
      <c r="A67" s="117"/>
      <c r="B67" s="117"/>
      <c r="C67" s="118" t="s">
        <v>116</v>
      </c>
      <c r="D67" s="49">
        <f>1566000-350000</f>
        <v>1216000</v>
      </c>
      <c r="E67" s="86">
        <f t="shared" si="21"/>
        <v>0</v>
      </c>
      <c r="F67" s="49">
        <v>0</v>
      </c>
      <c r="G67" s="49">
        <v>0</v>
      </c>
      <c r="H67" s="49">
        <v>0</v>
      </c>
      <c r="I67" s="49">
        <v>0</v>
      </c>
      <c r="J67" s="49">
        <f>909045+303587</f>
        <v>1212632</v>
      </c>
      <c r="K67" s="86">
        <f t="shared" si="23"/>
        <v>0</v>
      </c>
      <c r="L67" s="49">
        <v>0</v>
      </c>
      <c r="M67" s="49">
        <v>0</v>
      </c>
      <c r="N67" s="49">
        <v>0</v>
      </c>
      <c r="O67" s="49">
        <v>0</v>
      </c>
      <c r="P67" s="119"/>
    </row>
    <row r="68" spans="1:16" s="95" customFormat="1" ht="27.75" customHeight="1">
      <c r="A68" s="108"/>
      <c r="B68" s="108"/>
      <c r="C68" s="120" t="s">
        <v>117</v>
      </c>
      <c r="D68" s="121">
        <v>0</v>
      </c>
      <c r="E68" s="65">
        <f t="shared" si="21"/>
        <v>131194</v>
      </c>
      <c r="F68" s="121">
        <f>100000+23245+7949</f>
        <v>131194</v>
      </c>
      <c r="G68" s="122">
        <v>0</v>
      </c>
      <c r="H68" s="122">
        <v>0</v>
      </c>
      <c r="I68" s="122">
        <v>0</v>
      </c>
      <c r="J68" s="121">
        <v>0</v>
      </c>
      <c r="K68" s="65">
        <f t="shared" si="23"/>
        <v>131194</v>
      </c>
      <c r="L68" s="121">
        <v>131194</v>
      </c>
      <c r="M68" s="122">
        <v>0</v>
      </c>
      <c r="N68" s="122">
        <v>0</v>
      </c>
      <c r="O68" s="122">
        <v>0</v>
      </c>
      <c r="P68" s="110" t="s">
        <v>25</v>
      </c>
    </row>
    <row r="69" spans="1:16" s="61" customFormat="1" ht="14.25" customHeight="1">
      <c r="A69" s="68"/>
      <c r="B69" s="68"/>
      <c r="C69" s="39" t="s">
        <v>41</v>
      </c>
      <c r="D69" s="40">
        <v>0</v>
      </c>
      <c r="E69" s="36">
        <f t="shared" si="21"/>
        <v>345039</v>
      </c>
      <c r="F69" s="40">
        <f>355000-23245+10000+3284</f>
        <v>345039</v>
      </c>
      <c r="G69" s="40">
        <v>0</v>
      </c>
      <c r="H69" s="40">
        <v>0</v>
      </c>
      <c r="I69" s="40">
        <v>0</v>
      </c>
      <c r="J69" s="40">
        <v>0</v>
      </c>
      <c r="K69" s="36">
        <f t="shared" si="23"/>
        <v>345039</v>
      </c>
      <c r="L69" s="40">
        <v>345039</v>
      </c>
      <c r="M69" s="40">
        <v>0</v>
      </c>
      <c r="N69" s="40">
        <v>0</v>
      </c>
      <c r="O69" s="40">
        <v>0</v>
      </c>
      <c r="P69" s="110"/>
    </row>
    <row r="70" spans="1:16" s="126" customFormat="1" ht="15.75" hidden="1" customHeight="1">
      <c r="A70" s="57"/>
      <c r="B70" s="123" t="s">
        <v>106</v>
      </c>
      <c r="C70" s="124" t="s">
        <v>118</v>
      </c>
      <c r="D70" s="125">
        <f t="shared" ref="D70:O83" si="24">D71</f>
        <v>0</v>
      </c>
      <c r="E70" s="36">
        <f t="shared" si="21"/>
        <v>0</v>
      </c>
      <c r="F70" s="125">
        <f t="shared" si="24"/>
        <v>0</v>
      </c>
      <c r="G70" s="125">
        <f t="shared" si="24"/>
        <v>0</v>
      </c>
      <c r="H70" s="125">
        <f t="shared" si="24"/>
        <v>0</v>
      </c>
      <c r="I70" s="125">
        <f t="shared" si="24"/>
        <v>0</v>
      </c>
      <c r="J70" s="125">
        <f t="shared" si="24"/>
        <v>0</v>
      </c>
      <c r="K70" s="36">
        <f t="shared" si="23"/>
        <v>0</v>
      </c>
      <c r="L70" s="125"/>
      <c r="M70" s="125">
        <f t="shared" si="24"/>
        <v>0</v>
      </c>
      <c r="N70" s="125">
        <f t="shared" si="24"/>
        <v>0</v>
      </c>
      <c r="O70" s="125">
        <f t="shared" si="24"/>
        <v>0</v>
      </c>
      <c r="P70" s="110"/>
    </row>
    <row r="71" spans="1:16" s="61" customFormat="1" ht="28.5" hidden="1" customHeight="1">
      <c r="A71" s="57"/>
      <c r="B71" s="57"/>
      <c r="C71" s="127" t="s">
        <v>107</v>
      </c>
      <c r="D71" s="128">
        <v>0</v>
      </c>
      <c r="E71" s="36">
        <f t="shared" si="21"/>
        <v>0</v>
      </c>
      <c r="F71" s="129">
        <f>150000-150000</f>
        <v>0</v>
      </c>
      <c r="G71" s="129">
        <v>0</v>
      </c>
      <c r="H71" s="129">
        <v>0</v>
      </c>
      <c r="I71" s="129">
        <v>0</v>
      </c>
      <c r="J71" s="128">
        <v>0</v>
      </c>
      <c r="K71" s="36">
        <f t="shared" si="23"/>
        <v>0</v>
      </c>
      <c r="L71" s="129"/>
      <c r="M71" s="129">
        <v>0</v>
      </c>
      <c r="N71" s="129">
        <v>0</v>
      </c>
      <c r="O71" s="129">
        <v>0</v>
      </c>
      <c r="P71" s="110"/>
    </row>
    <row r="72" spans="1:16" s="61" customFormat="1" ht="28.5" customHeight="1">
      <c r="A72" s="57"/>
      <c r="B72" s="57"/>
      <c r="C72" s="39" t="s">
        <v>169</v>
      </c>
      <c r="D72" s="130">
        <v>0</v>
      </c>
      <c r="E72" s="36">
        <f t="shared" si="21"/>
        <v>32788</v>
      </c>
      <c r="F72" s="131">
        <f>50000-17212</f>
        <v>32788</v>
      </c>
      <c r="G72" s="131">
        <v>0</v>
      </c>
      <c r="H72" s="131">
        <v>0</v>
      </c>
      <c r="I72" s="131">
        <v>0</v>
      </c>
      <c r="J72" s="130">
        <v>0</v>
      </c>
      <c r="K72" s="36">
        <f t="shared" si="23"/>
        <v>32787</v>
      </c>
      <c r="L72" s="131">
        <v>32787</v>
      </c>
      <c r="M72" s="131">
        <v>0</v>
      </c>
      <c r="N72" s="131">
        <v>0</v>
      </c>
      <c r="O72" s="131">
        <v>0</v>
      </c>
      <c r="P72" s="110"/>
    </row>
    <row r="73" spans="1:16" s="61" customFormat="1" ht="17.25" customHeight="1">
      <c r="A73" s="57"/>
      <c r="B73" s="57"/>
      <c r="C73" s="39" t="s">
        <v>144</v>
      </c>
      <c r="D73" s="130">
        <v>0</v>
      </c>
      <c r="E73" s="36">
        <f>SUM(F73:I73)</f>
        <v>30600</v>
      </c>
      <c r="F73" s="131">
        <f>9000+22000-400</f>
        <v>30600</v>
      </c>
      <c r="G73" s="131">
        <v>0</v>
      </c>
      <c r="H73" s="131">
        <v>0</v>
      </c>
      <c r="I73" s="131">
        <v>0</v>
      </c>
      <c r="J73" s="130">
        <v>0</v>
      </c>
      <c r="K73" s="36">
        <f>SUM(L73:O73)</f>
        <v>30495</v>
      </c>
      <c r="L73" s="131">
        <v>30495</v>
      </c>
      <c r="M73" s="131">
        <v>0</v>
      </c>
      <c r="N73" s="131">
        <v>0</v>
      </c>
      <c r="O73" s="131">
        <v>0</v>
      </c>
      <c r="P73" s="110"/>
    </row>
    <row r="74" spans="1:16" s="61" customFormat="1" ht="18.75" customHeight="1">
      <c r="A74" s="57"/>
      <c r="B74" s="57"/>
      <c r="C74" s="39" t="s">
        <v>145</v>
      </c>
      <c r="D74" s="130">
        <v>0</v>
      </c>
      <c r="E74" s="36">
        <f t="shared" si="21"/>
        <v>11624</v>
      </c>
      <c r="F74" s="131">
        <f>25000-7000-6376</f>
        <v>11624</v>
      </c>
      <c r="G74" s="131">
        <v>0</v>
      </c>
      <c r="H74" s="131">
        <v>0</v>
      </c>
      <c r="I74" s="131">
        <v>0</v>
      </c>
      <c r="J74" s="130">
        <v>0</v>
      </c>
      <c r="K74" s="36">
        <f t="shared" ref="K74:K82" si="25">SUM(L74:O74)</f>
        <v>11624</v>
      </c>
      <c r="L74" s="131">
        <v>11624</v>
      </c>
      <c r="M74" s="131">
        <v>0</v>
      </c>
      <c r="N74" s="131">
        <v>0</v>
      </c>
      <c r="O74" s="131">
        <v>0</v>
      </c>
      <c r="P74" s="110"/>
    </row>
    <row r="75" spans="1:16" s="61" customFormat="1" ht="16.5" customHeight="1">
      <c r="A75" s="57"/>
      <c r="B75" s="57"/>
      <c r="C75" s="39" t="s">
        <v>146</v>
      </c>
      <c r="D75" s="130">
        <v>0</v>
      </c>
      <c r="E75" s="36">
        <f t="shared" si="21"/>
        <v>14222</v>
      </c>
      <c r="F75" s="131">
        <f>25000-5000-5778</f>
        <v>14222</v>
      </c>
      <c r="G75" s="131">
        <v>0</v>
      </c>
      <c r="H75" s="131">
        <v>0</v>
      </c>
      <c r="I75" s="131">
        <v>0</v>
      </c>
      <c r="J75" s="130">
        <v>0</v>
      </c>
      <c r="K75" s="36">
        <f t="shared" si="25"/>
        <v>14221</v>
      </c>
      <c r="L75" s="131">
        <v>14221</v>
      </c>
      <c r="M75" s="131">
        <v>0</v>
      </c>
      <c r="N75" s="131">
        <v>0</v>
      </c>
      <c r="O75" s="131">
        <v>0</v>
      </c>
      <c r="P75" s="110"/>
    </row>
    <row r="76" spans="1:16" s="61" customFormat="1" ht="16.5" customHeight="1">
      <c r="A76" s="57"/>
      <c r="B76" s="57"/>
      <c r="C76" s="39" t="s">
        <v>147</v>
      </c>
      <c r="D76" s="130">
        <v>0</v>
      </c>
      <c r="E76" s="36">
        <f t="shared" si="21"/>
        <v>10102</v>
      </c>
      <c r="F76" s="131">
        <f>40000-25000-4898</f>
        <v>10102</v>
      </c>
      <c r="G76" s="131">
        <v>0</v>
      </c>
      <c r="H76" s="131">
        <v>0</v>
      </c>
      <c r="I76" s="131">
        <v>0</v>
      </c>
      <c r="J76" s="130">
        <v>0</v>
      </c>
      <c r="K76" s="36">
        <f t="shared" si="25"/>
        <v>10102</v>
      </c>
      <c r="L76" s="131">
        <v>10102</v>
      </c>
      <c r="M76" s="131">
        <v>0</v>
      </c>
      <c r="N76" s="131">
        <v>0</v>
      </c>
      <c r="O76" s="131">
        <v>0</v>
      </c>
      <c r="P76" s="110"/>
    </row>
    <row r="77" spans="1:16" s="61" customFormat="1" ht="17.25" customHeight="1">
      <c r="A77" s="57"/>
      <c r="B77" s="57"/>
      <c r="C77" s="39" t="s">
        <v>148</v>
      </c>
      <c r="D77" s="130">
        <v>0</v>
      </c>
      <c r="E77" s="36">
        <f t="shared" si="21"/>
        <v>69000</v>
      </c>
      <c r="F77" s="131">
        <v>69000</v>
      </c>
      <c r="G77" s="131">
        <v>0</v>
      </c>
      <c r="H77" s="131">
        <v>0</v>
      </c>
      <c r="I77" s="131">
        <v>0</v>
      </c>
      <c r="J77" s="130">
        <v>0</v>
      </c>
      <c r="K77" s="36">
        <f t="shared" si="25"/>
        <v>41840</v>
      </c>
      <c r="L77" s="131">
        <v>41840</v>
      </c>
      <c r="M77" s="131">
        <v>0</v>
      </c>
      <c r="N77" s="131">
        <v>0</v>
      </c>
      <c r="O77" s="131">
        <v>0</v>
      </c>
      <c r="P77" s="110"/>
    </row>
    <row r="78" spans="1:16" s="61" customFormat="1" ht="18.75" customHeight="1">
      <c r="A78" s="57"/>
      <c r="B78" s="57"/>
      <c r="C78" s="132" t="s">
        <v>149</v>
      </c>
      <c r="D78" s="133">
        <v>0</v>
      </c>
      <c r="E78" s="134">
        <f t="shared" si="21"/>
        <v>91699</v>
      </c>
      <c r="F78" s="135">
        <f>50000-8301</f>
        <v>41699</v>
      </c>
      <c r="G78" s="135">
        <v>0</v>
      </c>
      <c r="H78" s="135">
        <v>50000</v>
      </c>
      <c r="I78" s="135">
        <v>0</v>
      </c>
      <c r="J78" s="133">
        <v>0</v>
      </c>
      <c r="K78" s="134">
        <f t="shared" si="25"/>
        <v>83744</v>
      </c>
      <c r="L78" s="135">
        <v>83744</v>
      </c>
      <c r="M78" s="135">
        <v>0</v>
      </c>
      <c r="N78" s="135">
        <v>0</v>
      </c>
      <c r="O78" s="135">
        <v>0</v>
      </c>
      <c r="P78" s="110"/>
    </row>
    <row r="79" spans="1:16" s="61" customFormat="1" ht="18.75" customHeight="1">
      <c r="A79" s="57"/>
      <c r="B79" s="57"/>
      <c r="C79" s="39" t="s">
        <v>151</v>
      </c>
      <c r="D79" s="130">
        <v>0</v>
      </c>
      <c r="E79" s="36">
        <f t="shared" si="21"/>
        <v>48000</v>
      </c>
      <c r="F79" s="131">
        <f>133900-85900</f>
        <v>48000</v>
      </c>
      <c r="G79" s="131">
        <v>0</v>
      </c>
      <c r="H79" s="131">
        <v>0</v>
      </c>
      <c r="I79" s="131">
        <v>0</v>
      </c>
      <c r="J79" s="130">
        <v>0</v>
      </c>
      <c r="K79" s="36">
        <f t="shared" si="25"/>
        <v>37546</v>
      </c>
      <c r="L79" s="131">
        <v>37546</v>
      </c>
      <c r="M79" s="131">
        <v>0</v>
      </c>
      <c r="N79" s="131">
        <v>0</v>
      </c>
      <c r="O79" s="131">
        <v>0</v>
      </c>
      <c r="P79" s="110"/>
    </row>
    <row r="80" spans="1:16" s="61" customFormat="1" ht="18.75" hidden="1" customHeight="1">
      <c r="A80" s="57"/>
      <c r="B80" s="57"/>
      <c r="C80" s="39" t="s">
        <v>152</v>
      </c>
      <c r="D80" s="130">
        <v>0</v>
      </c>
      <c r="E80" s="36">
        <f t="shared" si="21"/>
        <v>0</v>
      </c>
      <c r="F80" s="131">
        <f>263200-263200</f>
        <v>0</v>
      </c>
      <c r="G80" s="131">
        <v>0</v>
      </c>
      <c r="H80" s="131">
        <v>0</v>
      </c>
      <c r="I80" s="131">
        <v>0</v>
      </c>
      <c r="J80" s="130">
        <v>0</v>
      </c>
      <c r="K80" s="36">
        <f t="shared" si="25"/>
        <v>0</v>
      </c>
      <c r="L80" s="131"/>
      <c r="M80" s="131">
        <v>0</v>
      </c>
      <c r="N80" s="131">
        <v>0</v>
      </c>
      <c r="O80" s="131">
        <v>0</v>
      </c>
      <c r="P80" s="110"/>
    </row>
    <row r="81" spans="1:17" s="61" customFormat="1" ht="29.25" customHeight="1">
      <c r="A81" s="57"/>
      <c r="B81" s="57"/>
      <c r="C81" s="39" t="s">
        <v>170</v>
      </c>
      <c r="D81" s="130">
        <v>0</v>
      </c>
      <c r="E81" s="36">
        <f t="shared" si="21"/>
        <v>860000</v>
      </c>
      <c r="F81" s="131">
        <f>250000+160000</f>
        <v>410000</v>
      </c>
      <c r="G81" s="131">
        <v>0</v>
      </c>
      <c r="H81" s="131">
        <v>450000</v>
      </c>
      <c r="I81" s="131">
        <v>0</v>
      </c>
      <c r="J81" s="130">
        <v>0</v>
      </c>
      <c r="K81" s="36">
        <f t="shared" si="25"/>
        <v>569408</v>
      </c>
      <c r="L81" s="131">
        <f>61992+348008</f>
        <v>410000</v>
      </c>
      <c r="M81" s="131">
        <v>0</v>
      </c>
      <c r="N81" s="131">
        <v>159408</v>
      </c>
      <c r="O81" s="131">
        <v>0</v>
      </c>
      <c r="P81" s="110"/>
    </row>
    <row r="82" spans="1:17" s="61" customFormat="1" ht="29.25" customHeight="1">
      <c r="A82" s="57"/>
      <c r="B82" s="57"/>
      <c r="C82" s="70" t="s">
        <v>171</v>
      </c>
      <c r="D82" s="136">
        <v>0</v>
      </c>
      <c r="E82" s="49">
        <f t="shared" si="21"/>
        <v>25000</v>
      </c>
      <c r="F82" s="137">
        <v>25000</v>
      </c>
      <c r="G82" s="137">
        <v>0</v>
      </c>
      <c r="H82" s="137">
        <v>0</v>
      </c>
      <c r="I82" s="137">
        <v>0</v>
      </c>
      <c r="J82" s="138">
        <v>0</v>
      </c>
      <c r="K82" s="49">
        <f t="shared" si="25"/>
        <v>25000</v>
      </c>
      <c r="L82" s="137">
        <v>25000</v>
      </c>
      <c r="M82" s="137">
        <v>0</v>
      </c>
      <c r="N82" s="137">
        <v>0</v>
      </c>
      <c r="O82" s="137">
        <v>0</v>
      </c>
      <c r="P82" s="119"/>
    </row>
    <row r="83" spans="1:17" s="27" customFormat="1" ht="15.75" customHeight="1">
      <c r="A83" s="51"/>
      <c r="B83" s="52" t="s">
        <v>42</v>
      </c>
      <c r="C83" s="74" t="s">
        <v>68</v>
      </c>
      <c r="D83" s="75">
        <f t="shared" si="24"/>
        <v>170001</v>
      </c>
      <c r="E83" s="75">
        <f t="shared" si="24"/>
        <v>0</v>
      </c>
      <c r="F83" s="75">
        <f t="shared" si="24"/>
        <v>0</v>
      </c>
      <c r="G83" s="75">
        <f t="shared" si="24"/>
        <v>0</v>
      </c>
      <c r="H83" s="75">
        <f t="shared" si="24"/>
        <v>0</v>
      </c>
      <c r="I83" s="75">
        <f t="shared" si="24"/>
        <v>0</v>
      </c>
      <c r="J83" s="75">
        <f t="shared" si="24"/>
        <v>148750</v>
      </c>
      <c r="K83" s="75">
        <f t="shared" si="24"/>
        <v>0</v>
      </c>
      <c r="L83" s="75">
        <f t="shared" si="24"/>
        <v>0</v>
      </c>
      <c r="M83" s="75">
        <f t="shared" si="24"/>
        <v>0</v>
      </c>
      <c r="N83" s="75">
        <f t="shared" si="24"/>
        <v>0</v>
      </c>
      <c r="O83" s="75">
        <f t="shared" si="24"/>
        <v>0</v>
      </c>
      <c r="P83" s="139"/>
    </row>
    <row r="84" spans="1:17" s="61" customFormat="1" ht="14.25" customHeight="1">
      <c r="A84" s="57"/>
      <c r="B84" s="57"/>
      <c r="C84" s="140" t="s">
        <v>43</v>
      </c>
      <c r="D84" s="141">
        <f>45000000-31097561-13902439+117481+52520</f>
        <v>170001</v>
      </c>
      <c r="E84" s="142">
        <f>SUM(F84:I84)</f>
        <v>0</v>
      </c>
      <c r="F84" s="142">
        <v>0</v>
      </c>
      <c r="G84" s="142">
        <v>0</v>
      </c>
      <c r="H84" s="142">
        <v>0</v>
      </c>
      <c r="I84" s="142">
        <v>0</v>
      </c>
      <c r="J84" s="141">
        <v>148750</v>
      </c>
      <c r="K84" s="142">
        <f>SUM(L84:O84)</f>
        <v>0</v>
      </c>
      <c r="L84" s="142">
        <v>0</v>
      </c>
      <c r="M84" s="142">
        <v>0</v>
      </c>
      <c r="N84" s="142">
        <v>0</v>
      </c>
      <c r="O84" s="142">
        <v>0</v>
      </c>
      <c r="P84" s="143" t="s">
        <v>16</v>
      </c>
    </row>
    <row r="85" spans="1:17" s="27" customFormat="1" ht="15.75" customHeight="1">
      <c r="A85" s="51"/>
      <c r="B85" s="52" t="s">
        <v>44</v>
      </c>
      <c r="C85" s="53" t="s">
        <v>69</v>
      </c>
      <c r="D85" s="54">
        <f t="shared" ref="D85:I85" si="26">SUM(D86:D88)</f>
        <v>3204347</v>
      </c>
      <c r="E85" s="54">
        <f t="shared" si="26"/>
        <v>0</v>
      </c>
      <c r="F85" s="54">
        <f t="shared" si="26"/>
        <v>0</v>
      </c>
      <c r="G85" s="54">
        <f t="shared" si="26"/>
        <v>0</v>
      </c>
      <c r="H85" s="54">
        <f t="shared" si="26"/>
        <v>0</v>
      </c>
      <c r="I85" s="54">
        <f t="shared" si="26"/>
        <v>0</v>
      </c>
      <c r="J85" s="54">
        <f t="shared" ref="J85:O85" si="27">SUM(J86:J88)</f>
        <v>3071572</v>
      </c>
      <c r="K85" s="54">
        <f t="shared" si="27"/>
        <v>0</v>
      </c>
      <c r="L85" s="54">
        <f t="shared" si="27"/>
        <v>0</v>
      </c>
      <c r="M85" s="54">
        <f t="shared" si="27"/>
        <v>0</v>
      </c>
      <c r="N85" s="54">
        <f t="shared" si="27"/>
        <v>0</v>
      </c>
      <c r="O85" s="54">
        <f t="shared" si="27"/>
        <v>0</v>
      </c>
      <c r="P85" s="26"/>
    </row>
    <row r="86" spans="1:17" s="61" customFormat="1" ht="14.25" customHeight="1">
      <c r="A86" s="57"/>
      <c r="B86" s="57"/>
      <c r="C86" s="59" t="s">
        <v>45</v>
      </c>
      <c r="D86" s="60">
        <f>89912-20000-10000</f>
        <v>59912</v>
      </c>
      <c r="E86" s="60">
        <f>SUM(F86:I86)</f>
        <v>0</v>
      </c>
      <c r="F86" s="60"/>
      <c r="G86" s="60">
        <v>0</v>
      </c>
      <c r="H86" s="60">
        <v>0</v>
      </c>
      <c r="I86" s="60">
        <v>0</v>
      </c>
      <c r="J86" s="60">
        <v>31791</v>
      </c>
      <c r="K86" s="60">
        <f>SUM(L86:O86)</f>
        <v>0</v>
      </c>
      <c r="L86" s="60">
        <v>0</v>
      </c>
      <c r="M86" s="60">
        <v>0</v>
      </c>
      <c r="N86" s="60">
        <v>0</v>
      </c>
      <c r="O86" s="60">
        <v>0</v>
      </c>
      <c r="P86" s="33" t="s">
        <v>16</v>
      </c>
    </row>
    <row r="87" spans="1:17" s="95" customFormat="1" ht="27.75" customHeight="1">
      <c r="A87" s="66"/>
      <c r="B87" s="101"/>
      <c r="C87" s="35" t="s">
        <v>46</v>
      </c>
      <c r="D87" s="36">
        <f>1906308+627408+110719</f>
        <v>2644435</v>
      </c>
      <c r="E87" s="36">
        <f>SUM(F87:I87)</f>
        <v>0</v>
      </c>
      <c r="F87" s="36">
        <v>0</v>
      </c>
      <c r="G87" s="36">
        <v>0</v>
      </c>
      <c r="H87" s="36">
        <v>0</v>
      </c>
      <c r="I87" s="36">
        <v>0</v>
      </c>
      <c r="J87" s="36">
        <v>2598949</v>
      </c>
      <c r="K87" s="36">
        <f>SUM(L87:O87)</f>
        <v>0</v>
      </c>
      <c r="L87" s="36">
        <v>0</v>
      </c>
      <c r="M87" s="36">
        <v>0</v>
      </c>
      <c r="N87" s="36">
        <v>0</v>
      </c>
      <c r="O87" s="36">
        <v>0</v>
      </c>
      <c r="P87" s="38"/>
      <c r="Q87" s="1"/>
    </row>
    <row r="88" spans="1:17" s="61" customFormat="1" ht="14.25" customHeight="1">
      <c r="A88" s="69"/>
      <c r="B88" s="69"/>
      <c r="C88" s="70" t="s">
        <v>100</v>
      </c>
      <c r="D88" s="144">
        <f>1578093-1078093</f>
        <v>500000</v>
      </c>
      <c r="E88" s="71">
        <f>SUM(F88:I88)</f>
        <v>0</v>
      </c>
      <c r="F88" s="71">
        <v>0</v>
      </c>
      <c r="G88" s="71">
        <v>0</v>
      </c>
      <c r="H88" s="71">
        <v>0</v>
      </c>
      <c r="I88" s="71">
        <v>0</v>
      </c>
      <c r="J88" s="145">
        <v>440832</v>
      </c>
      <c r="K88" s="71">
        <f>SUM(L88:O88)</f>
        <v>0</v>
      </c>
      <c r="L88" s="71">
        <v>0</v>
      </c>
      <c r="M88" s="71">
        <v>0</v>
      </c>
      <c r="N88" s="71">
        <v>0</v>
      </c>
      <c r="O88" s="71">
        <v>0</v>
      </c>
      <c r="P88" s="50"/>
    </row>
    <row r="89" spans="1:17" s="21" customFormat="1" ht="14.25" customHeight="1">
      <c r="A89" s="17" t="s">
        <v>153</v>
      </c>
      <c r="B89" s="17"/>
      <c r="C89" s="18" t="s">
        <v>155</v>
      </c>
      <c r="D89" s="19">
        <f t="shared" ref="D89:O89" si="28">D90</f>
        <v>33000</v>
      </c>
      <c r="E89" s="19">
        <f t="shared" si="28"/>
        <v>0</v>
      </c>
      <c r="F89" s="19">
        <f t="shared" si="28"/>
        <v>0</v>
      </c>
      <c r="G89" s="19">
        <f t="shared" si="28"/>
        <v>0</v>
      </c>
      <c r="H89" s="19">
        <f t="shared" si="28"/>
        <v>0</v>
      </c>
      <c r="I89" s="19">
        <f t="shared" si="28"/>
        <v>0</v>
      </c>
      <c r="J89" s="19">
        <f t="shared" si="28"/>
        <v>23185</v>
      </c>
      <c r="K89" s="19">
        <f t="shared" si="28"/>
        <v>0</v>
      </c>
      <c r="L89" s="19">
        <f t="shared" si="28"/>
        <v>0</v>
      </c>
      <c r="M89" s="19">
        <f t="shared" si="28"/>
        <v>0</v>
      </c>
      <c r="N89" s="19">
        <f t="shared" si="28"/>
        <v>0</v>
      </c>
      <c r="O89" s="19">
        <f t="shared" si="28"/>
        <v>0</v>
      </c>
      <c r="P89" s="20"/>
    </row>
    <row r="90" spans="1:17" s="27" customFormat="1" ht="15.75" customHeight="1">
      <c r="A90" s="22"/>
      <c r="B90" s="52" t="s">
        <v>154</v>
      </c>
      <c r="C90" s="53" t="s">
        <v>156</v>
      </c>
      <c r="D90" s="54">
        <f t="shared" ref="D90:O90" si="29">SUM(D91:D91)</f>
        <v>33000</v>
      </c>
      <c r="E90" s="54">
        <f t="shared" si="29"/>
        <v>0</v>
      </c>
      <c r="F90" s="54">
        <f t="shared" si="29"/>
        <v>0</v>
      </c>
      <c r="G90" s="54">
        <f t="shared" si="29"/>
        <v>0</v>
      </c>
      <c r="H90" s="54">
        <f t="shared" si="29"/>
        <v>0</v>
      </c>
      <c r="I90" s="54">
        <f t="shared" si="29"/>
        <v>0</v>
      </c>
      <c r="J90" s="54">
        <f t="shared" si="29"/>
        <v>23185</v>
      </c>
      <c r="K90" s="54">
        <f t="shared" si="29"/>
        <v>0</v>
      </c>
      <c r="L90" s="54">
        <f t="shared" si="29"/>
        <v>0</v>
      </c>
      <c r="M90" s="54">
        <f t="shared" si="29"/>
        <v>0</v>
      </c>
      <c r="N90" s="54">
        <f t="shared" si="29"/>
        <v>0</v>
      </c>
      <c r="O90" s="54">
        <f t="shared" si="29"/>
        <v>0</v>
      </c>
      <c r="P90" s="26"/>
    </row>
    <row r="91" spans="1:17" ht="30" customHeight="1">
      <c r="A91" s="78"/>
      <c r="B91" s="78"/>
      <c r="C91" s="146" t="s">
        <v>157</v>
      </c>
      <c r="D91" s="49">
        <f>62000-24650-4350</f>
        <v>33000</v>
      </c>
      <c r="E91" s="147">
        <v>0</v>
      </c>
      <c r="F91" s="147">
        <v>0</v>
      </c>
      <c r="G91" s="147">
        <v>0</v>
      </c>
      <c r="H91" s="147">
        <v>0</v>
      </c>
      <c r="I91" s="147">
        <v>0</v>
      </c>
      <c r="J91" s="49">
        <v>23185</v>
      </c>
      <c r="K91" s="147">
        <v>0</v>
      </c>
      <c r="L91" s="147">
        <v>0</v>
      </c>
      <c r="M91" s="147">
        <v>0</v>
      </c>
      <c r="N91" s="147">
        <v>0</v>
      </c>
      <c r="O91" s="147">
        <v>0</v>
      </c>
      <c r="P91" s="143" t="s">
        <v>16</v>
      </c>
    </row>
    <row r="92" spans="1:17" s="21" customFormat="1" ht="14.25" customHeight="1">
      <c r="A92" s="17" t="s">
        <v>47</v>
      </c>
      <c r="B92" s="17"/>
      <c r="C92" s="18" t="s">
        <v>70</v>
      </c>
      <c r="D92" s="19">
        <f t="shared" ref="D92:O92" si="30">D93</f>
        <v>9366000</v>
      </c>
      <c r="E92" s="19">
        <f t="shared" si="30"/>
        <v>370000</v>
      </c>
      <c r="F92" s="19">
        <f t="shared" si="30"/>
        <v>370000</v>
      </c>
      <c r="G92" s="19">
        <f t="shared" si="30"/>
        <v>0</v>
      </c>
      <c r="H92" s="19">
        <f t="shared" si="30"/>
        <v>0</v>
      </c>
      <c r="I92" s="19">
        <f t="shared" si="30"/>
        <v>0</v>
      </c>
      <c r="J92" s="19">
        <f t="shared" si="30"/>
        <v>9366000</v>
      </c>
      <c r="K92" s="19">
        <f t="shared" si="30"/>
        <v>66325</v>
      </c>
      <c r="L92" s="19">
        <f t="shared" si="30"/>
        <v>66325</v>
      </c>
      <c r="M92" s="19">
        <f t="shared" si="30"/>
        <v>0</v>
      </c>
      <c r="N92" s="19">
        <f t="shared" si="30"/>
        <v>0</v>
      </c>
      <c r="O92" s="19">
        <f t="shared" si="30"/>
        <v>0</v>
      </c>
      <c r="P92" s="20"/>
    </row>
    <row r="93" spans="1:17" s="27" customFormat="1" ht="15.75" customHeight="1">
      <c r="A93" s="22"/>
      <c r="B93" s="52" t="s">
        <v>48</v>
      </c>
      <c r="C93" s="53" t="s">
        <v>71</v>
      </c>
      <c r="D93" s="54">
        <f>SUM(D94:D96)</f>
        <v>9366000</v>
      </c>
      <c r="E93" s="54">
        <f t="shared" ref="E93:I93" si="31">SUM(E94:E96)</f>
        <v>370000</v>
      </c>
      <c r="F93" s="54">
        <f t="shared" si="31"/>
        <v>370000</v>
      </c>
      <c r="G93" s="54">
        <f t="shared" si="31"/>
        <v>0</v>
      </c>
      <c r="H93" s="54">
        <f t="shared" si="31"/>
        <v>0</v>
      </c>
      <c r="I93" s="54">
        <f t="shared" si="31"/>
        <v>0</v>
      </c>
      <c r="J93" s="54">
        <f>SUM(J94:J96)</f>
        <v>9366000</v>
      </c>
      <c r="K93" s="54">
        <f t="shared" ref="K93:O93" si="32">SUM(K94:K96)</f>
        <v>66325</v>
      </c>
      <c r="L93" s="54">
        <f t="shared" si="32"/>
        <v>66325</v>
      </c>
      <c r="M93" s="54">
        <f t="shared" si="32"/>
        <v>0</v>
      </c>
      <c r="N93" s="54">
        <f t="shared" si="32"/>
        <v>0</v>
      </c>
      <c r="O93" s="54">
        <f t="shared" si="32"/>
        <v>0</v>
      </c>
      <c r="P93" s="26"/>
    </row>
    <row r="94" spans="1:17" ht="28.5" customHeight="1">
      <c r="A94" s="57"/>
      <c r="B94" s="63"/>
      <c r="C94" s="30" t="s">
        <v>101</v>
      </c>
      <c r="D94" s="31">
        <v>9366000</v>
      </c>
      <c r="E94" s="31">
        <f>SUM(F94:I94)</f>
        <v>0</v>
      </c>
      <c r="F94" s="31">
        <v>0</v>
      </c>
      <c r="G94" s="31">
        <v>0</v>
      </c>
      <c r="H94" s="31">
        <v>0</v>
      </c>
      <c r="I94" s="31">
        <v>0</v>
      </c>
      <c r="J94" s="31">
        <v>9366000</v>
      </c>
      <c r="K94" s="31">
        <f>SUM(L94:O94)</f>
        <v>0</v>
      </c>
      <c r="L94" s="31">
        <v>0</v>
      </c>
      <c r="M94" s="31">
        <v>0</v>
      </c>
      <c r="N94" s="31">
        <v>0</v>
      </c>
      <c r="O94" s="31">
        <v>0</v>
      </c>
      <c r="P94" s="33" t="s">
        <v>16</v>
      </c>
    </row>
    <row r="95" spans="1:17" ht="27" customHeight="1">
      <c r="A95" s="77"/>
      <c r="B95" s="77"/>
      <c r="C95" s="35" t="s">
        <v>49</v>
      </c>
      <c r="D95" s="36">
        <v>0</v>
      </c>
      <c r="E95" s="36">
        <f>SUM(F95:I95)</f>
        <v>365500</v>
      </c>
      <c r="F95" s="36">
        <f>370000-4500</f>
        <v>365500</v>
      </c>
      <c r="G95" s="36">
        <v>0</v>
      </c>
      <c r="H95" s="36">
        <v>0</v>
      </c>
      <c r="I95" s="36">
        <v>0</v>
      </c>
      <c r="J95" s="36">
        <v>0</v>
      </c>
      <c r="K95" s="36">
        <f>SUM(L95:O95)</f>
        <v>61825</v>
      </c>
      <c r="L95" s="36">
        <v>61825</v>
      </c>
      <c r="M95" s="36">
        <v>0</v>
      </c>
      <c r="N95" s="36">
        <v>0</v>
      </c>
      <c r="O95" s="36">
        <v>0</v>
      </c>
      <c r="P95" s="38"/>
    </row>
    <row r="96" spans="1:17" ht="27" customHeight="1">
      <c r="A96" s="78"/>
      <c r="B96" s="78"/>
      <c r="C96" s="89" t="s">
        <v>41</v>
      </c>
      <c r="D96" s="86">
        <v>0</v>
      </c>
      <c r="E96" s="36">
        <f>SUM(F96:I96)</f>
        <v>4500</v>
      </c>
      <c r="F96" s="86">
        <v>4500</v>
      </c>
      <c r="G96" s="86">
        <v>0</v>
      </c>
      <c r="H96" s="86">
        <v>0</v>
      </c>
      <c r="I96" s="86">
        <v>0</v>
      </c>
      <c r="J96" s="86">
        <v>0</v>
      </c>
      <c r="K96" s="36">
        <f>SUM(L96:O96)</f>
        <v>4500</v>
      </c>
      <c r="L96" s="86">
        <v>4500</v>
      </c>
      <c r="M96" s="86">
        <v>0</v>
      </c>
      <c r="N96" s="86">
        <v>0</v>
      </c>
      <c r="O96" s="86">
        <v>0</v>
      </c>
      <c r="P96" s="50"/>
    </row>
    <row r="97" spans="1:17" s="21" customFormat="1" ht="14.25" customHeight="1">
      <c r="A97" s="17" t="s">
        <v>123</v>
      </c>
      <c r="B97" s="17"/>
      <c r="C97" s="18" t="s">
        <v>174</v>
      </c>
      <c r="D97" s="19">
        <f t="shared" ref="D97:O97" si="33">D98</f>
        <v>0</v>
      </c>
      <c r="E97" s="19">
        <f t="shared" si="33"/>
        <v>19619</v>
      </c>
      <c r="F97" s="19">
        <f t="shared" si="33"/>
        <v>19619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19618</v>
      </c>
      <c r="L97" s="19">
        <f t="shared" si="33"/>
        <v>19618</v>
      </c>
      <c r="M97" s="19">
        <f t="shared" si="33"/>
        <v>0</v>
      </c>
      <c r="N97" s="19">
        <f t="shared" si="33"/>
        <v>0</v>
      </c>
      <c r="O97" s="19">
        <f t="shared" si="33"/>
        <v>0</v>
      </c>
      <c r="P97" s="20"/>
    </row>
    <row r="98" spans="1:17" s="27" customFormat="1" ht="15.75" customHeight="1">
      <c r="A98" s="22"/>
      <c r="B98" s="52" t="s">
        <v>124</v>
      </c>
      <c r="C98" s="53" t="s">
        <v>175</v>
      </c>
      <c r="D98" s="54">
        <f t="shared" ref="D98:I98" si="34">SUM(D99:D100)</f>
        <v>0</v>
      </c>
      <c r="E98" s="54">
        <f t="shared" si="34"/>
        <v>19619</v>
      </c>
      <c r="F98" s="54">
        <f t="shared" si="34"/>
        <v>19619</v>
      </c>
      <c r="G98" s="54">
        <f t="shared" si="34"/>
        <v>0</v>
      </c>
      <c r="H98" s="54">
        <f t="shared" si="34"/>
        <v>0</v>
      </c>
      <c r="I98" s="54">
        <f t="shared" si="34"/>
        <v>0</v>
      </c>
      <c r="J98" s="54">
        <f t="shared" ref="J98:O98" si="35">SUM(J99:J100)</f>
        <v>0</v>
      </c>
      <c r="K98" s="54">
        <f t="shared" si="35"/>
        <v>19618</v>
      </c>
      <c r="L98" s="54">
        <f t="shared" si="35"/>
        <v>19618</v>
      </c>
      <c r="M98" s="54">
        <f t="shared" si="35"/>
        <v>0</v>
      </c>
      <c r="N98" s="54">
        <f t="shared" si="35"/>
        <v>0</v>
      </c>
      <c r="O98" s="54">
        <f t="shared" si="35"/>
        <v>0</v>
      </c>
      <c r="P98" s="26"/>
    </row>
    <row r="99" spans="1:17" ht="22.5" customHeight="1">
      <c r="A99" s="57"/>
      <c r="B99" s="63"/>
      <c r="C99" s="30" t="s">
        <v>126</v>
      </c>
      <c r="D99" s="31">
        <v>0</v>
      </c>
      <c r="E99" s="31">
        <f>SUM(F99:I99)</f>
        <v>10500</v>
      </c>
      <c r="F99" s="31">
        <v>10500</v>
      </c>
      <c r="G99" s="31">
        <v>0</v>
      </c>
      <c r="H99" s="31">
        <v>0</v>
      </c>
      <c r="I99" s="31">
        <v>0</v>
      </c>
      <c r="J99" s="31">
        <v>0</v>
      </c>
      <c r="K99" s="31">
        <f>SUM(L99:O99)</f>
        <v>10500</v>
      </c>
      <c r="L99" s="31">
        <v>10500</v>
      </c>
      <c r="M99" s="31">
        <v>0</v>
      </c>
      <c r="N99" s="31">
        <v>0</v>
      </c>
      <c r="O99" s="31">
        <v>0</v>
      </c>
      <c r="P99" s="33" t="s">
        <v>125</v>
      </c>
    </row>
    <row r="100" spans="1:17" ht="21.75" customHeight="1">
      <c r="A100" s="78"/>
      <c r="B100" s="78"/>
      <c r="C100" s="48" t="s">
        <v>127</v>
      </c>
      <c r="D100" s="49">
        <v>0</v>
      </c>
      <c r="E100" s="49">
        <f>SUM(F100:I100)</f>
        <v>9119</v>
      </c>
      <c r="F100" s="49">
        <f>10500-1381</f>
        <v>9119</v>
      </c>
      <c r="G100" s="49">
        <v>0</v>
      </c>
      <c r="H100" s="49">
        <v>0</v>
      </c>
      <c r="I100" s="49">
        <v>0</v>
      </c>
      <c r="J100" s="49">
        <v>0</v>
      </c>
      <c r="K100" s="49">
        <f>SUM(L100:O100)</f>
        <v>9118</v>
      </c>
      <c r="L100" s="49">
        <v>9118</v>
      </c>
      <c r="M100" s="49">
        <v>0</v>
      </c>
      <c r="N100" s="49">
        <v>0</v>
      </c>
      <c r="O100" s="49">
        <v>0</v>
      </c>
      <c r="P100" s="50"/>
    </row>
    <row r="101" spans="1:17" s="21" customFormat="1" ht="14.25" customHeight="1">
      <c r="A101" s="17" t="s">
        <v>50</v>
      </c>
      <c r="B101" s="17"/>
      <c r="C101" s="18" t="s">
        <v>72</v>
      </c>
      <c r="D101" s="148">
        <f t="shared" ref="D101:I101" si="36">D102+D104+D110</f>
        <v>65294</v>
      </c>
      <c r="E101" s="148">
        <f t="shared" si="36"/>
        <v>3264458</v>
      </c>
      <c r="F101" s="19">
        <f t="shared" si="36"/>
        <v>3264458</v>
      </c>
      <c r="G101" s="19">
        <f t="shared" si="36"/>
        <v>0</v>
      </c>
      <c r="H101" s="19">
        <f t="shared" si="36"/>
        <v>0</v>
      </c>
      <c r="I101" s="19">
        <f t="shared" si="36"/>
        <v>0</v>
      </c>
      <c r="J101" s="148">
        <f t="shared" ref="J101:O101" si="37">J102+J104+J110</f>
        <v>46051</v>
      </c>
      <c r="K101" s="148">
        <f t="shared" si="37"/>
        <v>3097028</v>
      </c>
      <c r="L101" s="19">
        <f t="shared" si="37"/>
        <v>3097028</v>
      </c>
      <c r="M101" s="19">
        <f t="shared" si="37"/>
        <v>0</v>
      </c>
      <c r="N101" s="19">
        <f t="shared" si="37"/>
        <v>0</v>
      </c>
      <c r="O101" s="19">
        <f t="shared" si="37"/>
        <v>0</v>
      </c>
      <c r="P101" s="20"/>
    </row>
    <row r="102" spans="1:17" s="27" customFormat="1" ht="15.75" customHeight="1">
      <c r="A102" s="22"/>
      <c r="B102" s="52" t="s">
        <v>52</v>
      </c>
      <c r="C102" s="53" t="s">
        <v>73</v>
      </c>
      <c r="D102" s="54">
        <f t="shared" ref="D102:O102" si="38">SUM(D103)</f>
        <v>0</v>
      </c>
      <c r="E102" s="54">
        <f t="shared" si="38"/>
        <v>30000</v>
      </c>
      <c r="F102" s="54">
        <f t="shared" si="38"/>
        <v>30000</v>
      </c>
      <c r="G102" s="54">
        <f t="shared" si="38"/>
        <v>0</v>
      </c>
      <c r="H102" s="54">
        <f t="shared" si="38"/>
        <v>0</v>
      </c>
      <c r="I102" s="54">
        <f t="shared" si="38"/>
        <v>0</v>
      </c>
      <c r="J102" s="54">
        <f t="shared" si="38"/>
        <v>0</v>
      </c>
      <c r="K102" s="54">
        <f t="shared" si="38"/>
        <v>9468</v>
      </c>
      <c r="L102" s="54">
        <f t="shared" si="38"/>
        <v>9468</v>
      </c>
      <c r="M102" s="54">
        <f t="shared" si="38"/>
        <v>0</v>
      </c>
      <c r="N102" s="54">
        <f t="shared" si="38"/>
        <v>0</v>
      </c>
      <c r="O102" s="54">
        <f t="shared" si="38"/>
        <v>0</v>
      </c>
      <c r="P102" s="26"/>
    </row>
    <row r="103" spans="1:17" ht="14.25" customHeight="1">
      <c r="A103" s="57"/>
      <c r="B103" s="149"/>
      <c r="C103" s="150" t="s">
        <v>15</v>
      </c>
      <c r="D103" s="81">
        <v>0</v>
      </c>
      <c r="E103" s="80">
        <f>SUM(F103:I103)</f>
        <v>30000</v>
      </c>
      <c r="F103" s="81">
        <v>30000</v>
      </c>
      <c r="G103" s="81">
        <v>0</v>
      </c>
      <c r="H103" s="81">
        <v>0</v>
      </c>
      <c r="I103" s="81">
        <v>0</v>
      </c>
      <c r="J103" s="81">
        <v>0</v>
      </c>
      <c r="K103" s="80">
        <f>SUM(L103:O103)</f>
        <v>9468</v>
      </c>
      <c r="L103" s="80">
        <v>9468</v>
      </c>
      <c r="M103" s="81">
        <v>0</v>
      </c>
      <c r="N103" s="81">
        <v>0</v>
      </c>
      <c r="O103" s="81">
        <v>0</v>
      </c>
      <c r="P103" s="82" t="s">
        <v>16</v>
      </c>
    </row>
    <row r="104" spans="1:17" s="27" customFormat="1" ht="15.75" customHeight="1">
      <c r="A104" s="51"/>
      <c r="B104" s="73" t="s">
        <v>51</v>
      </c>
      <c r="C104" s="74" t="s">
        <v>74</v>
      </c>
      <c r="D104" s="75">
        <f>SUM(D105:D109)</f>
        <v>65294</v>
      </c>
      <c r="E104" s="75">
        <f>SUM(E105:E109)</f>
        <v>3234458</v>
      </c>
      <c r="F104" s="75">
        <f>SUM(F105:F109)</f>
        <v>3234458</v>
      </c>
      <c r="G104" s="75">
        <f t="shared" ref="G104:I104" si="39">SUM(G105:G109)</f>
        <v>0</v>
      </c>
      <c r="H104" s="75">
        <f t="shared" si="39"/>
        <v>0</v>
      </c>
      <c r="I104" s="75">
        <f t="shared" si="39"/>
        <v>0</v>
      </c>
      <c r="J104" s="75">
        <f>SUM(J105:J109)</f>
        <v>46051</v>
      </c>
      <c r="K104" s="75">
        <f>SUM(K105:K109)</f>
        <v>3087560</v>
      </c>
      <c r="L104" s="75">
        <f>SUM(L105:L109)</f>
        <v>3087560</v>
      </c>
      <c r="M104" s="75">
        <f t="shared" ref="M104:O104" si="40">SUM(M105:M109)</f>
        <v>0</v>
      </c>
      <c r="N104" s="75">
        <f t="shared" si="40"/>
        <v>0</v>
      </c>
      <c r="O104" s="75">
        <f t="shared" si="40"/>
        <v>0</v>
      </c>
      <c r="P104" s="139"/>
    </row>
    <row r="105" spans="1:17" ht="26.25" customHeight="1">
      <c r="A105" s="57"/>
      <c r="B105" s="63"/>
      <c r="C105" s="30" t="s">
        <v>102</v>
      </c>
      <c r="D105" s="31">
        <f>2200000-2200000</f>
        <v>0</v>
      </c>
      <c r="E105" s="36">
        <f>SUM(F105:I105)</f>
        <v>2940000</v>
      </c>
      <c r="F105" s="31">
        <f>2200000+740000</f>
        <v>2940000</v>
      </c>
      <c r="G105" s="31">
        <v>0</v>
      </c>
      <c r="H105" s="31">
        <v>0</v>
      </c>
      <c r="I105" s="31">
        <v>0</v>
      </c>
      <c r="J105" s="31">
        <f>2200000-2200000</f>
        <v>0</v>
      </c>
      <c r="K105" s="36">
        <f>SUM(L105:O105)</f>
        <v>2940000</v>
      </c>
      <c r="L105" s="31">
        <v>2940000</v>
      </c>
      <c r="M105" s="31">
        <v>0</v>
      </c>
      <c r="N105" s="31">
        <v>0</v>
      </c>
      <c r="O105" s="31">
        <v>0</v>
      </c>
      <c r="P105" s="33" t="s">
        <v>16</v>
      </c>
    </row>
    <row r="106" spans="1:17" s="61" customFormat="1" ht="14.25" customHeight="1">
      <c r="A106" s="151"/>
      <c r="B106" s="151"/>
      <c r="C106" s="39" t="s">
        <v>103</v>
      </c>
      <c r="D106" s="40">
        <v>0</v>
      </c>
      <c r="E106" s="40">
        <f>SUM(F106:I106)</f>
        <v>70000</v>
      </c>
      <c r="F106" s="40">
        <v>70000</v>
      </c>
      <c r="G106" s="40">
        <v>0</v>
      </c>
      <c r="H106" s="40">
        <v>0</v>
      </c>
      <c r="I106" s="40">
        <v>0</v>
      </c>
      <c r="J106" s="40">
        <v>0</v>
      </c>
      <c r="K106" s="40">
        <f>SUM(L106:O106)</f>
        <v>70000</v>
      </c>
      <c r="L106" s="40">
        <v>70000</v>
      </c>
      <c r="M106" s="40">
        <v>0</v>
      </c>
      <c r="N106" s="40">
        <v>0</v>
      </c>
      <c r="O106" s="40">
        <v>0</v>
      </c>
      <c r="P106" s="38"/>
    </row>
    <row r="107" spans="1:17" s="61" customFormat="1" ht="14.25" customHeight="1">
      <c r="A107" s="151"/>
      <c r="B107" s="151"/>
      <c r="C107" s="39" t="s">
        <v>41</v>
      </c>
      <c r="D107" s="40">
        <v>0</v>
      </c>
      <c r="E107" s="40">
        <f>SUM(F107:I107)</f>
        <v>190000</v>
      </c>
      <c r="F107" s="40">
        <v>190000</v>
      </c>
      <c r="G107" s="40">
        <v>0</v>
      </c>
      <c r="H107" s="40">
        <v>0</v>
      </c>
      <c r="I107" s="40">
        <v>0</v>
      </c>
      <c r="J107" s="40">
        <v>0</v>
      </c>
      <c r="K107" s="40">
        <f>SUM(L107:O107)</f>
        <v>44350</v>
      </c>
      <c r="L107" s="40">
        <v>44350</v>
      </c>
      <c r="M107" s="40">
        <v>0</v>
      </c>
      <c r="N107" s="40">
        <v>0</v>
      </c>
      <c r="O107" s="40">
        <v>0</v>
      </c>
      <c r="P107" s="38"/>
    </row>
    <row r="108" spans="1:17" s="61" customFormat="1" ht="14.25" customHeight="1">
      <c r="A108" s="151"/>
      <c r="B108" s="151"/>
      <c r="C108" s="39" t="s">
        <v>104</v>
      </c>
      <c r="D108" s="40">
        <f>35294+30000</f>
        <v>65294</v>
      </c>
      <c r="E108" s="40">
        <f>SUM(F108:I108)</f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46051</v>
      </c>
      <c r="K108" s="40">
        <f>SUM(L108:O108)</f>
        <v>0</v>
      </c>
      <c r="L108" s="40">
        <v>0</v>
      </c>
      <c r="M108" s="40">
        <v>0</v>
      </c>
      <c r="N108" s="40">
        <v>0</v>
      </c>
      <c r="O108" s="40">
        <v>0</v>
      </c>
      <c r="P108" s="38"/>
    </row>
    <row r="109" spans="1:17" s="61" customFormat="1" ht="30.75" customHeight="1">
      <c r="A109" s="152"/>
      <c r="B109" s="152"/>
      <c r="C109" s="89" t="s">
        <v>150</v>
      </c>
      <c r="D109" s="125">
        <v>0</v>
      </c>
      <c r="E109" s="125">
        <f>SUM(F109:I109)</f>
        <v>34458</v>
      </c>
      <c r="F109" s="125">
        <v>34458</v>
      </c>
      <c r="G109" s="125">
        <v>0</v>
      </c>
      <c r="H109" s="125">
        <v>0</v>
      </c>
      <c r="I109" s="125">
        <v>0</v>
      </c>
      <c r="J109" s="125">
        <v>0</v>
      </c>
      <c r="K109" s="125">
        <f>SUM(L109:O109)</f>
        <v>33210</v>
      </c>
      <c r="L109" s="125">
        <v>33210</v>
      </c>
      <c r="M109" s="125">
        <v>0</v>
      </c>
      <c r="N109" s="125">
        <v>0</v>
      </c>
      <c r="O109" s="125">
        <v>0</v>
      </c>
      <c r="P109" s="50"/>
    </row>
    <row r="110" spans="1:17" s="27" customFormat="1" ht="15.75" hidden="1" customHeight="1">
      <c r="A110" s="51"/>
      <c r="B110" s="73" t="s">
        <v>53</v>
      </c>
      <c r="C110" s="53" t="s">
        <v>69</v>
      </c>
      <c r="D110" s="54">
        <f t="shared" ref="D110:I110" si="41">SUM(D111:D112)</f>
        <v>0</v>
      </c>
      <c r="E110" s="54">
        <f t="shared" si="41"/>
        <v>0</v>
      </c>
      <c r="F110" s="54">
        <f t="shared" si="41"/>
        <v>0</v>
      </c>
      <c r="G110" s="54">
        <f t="shared" si="41"/>
        <v>0</v>
      </c>
      <c r="H110" s="54">
        <f t="shared" si="41"/>
        <v>0</v>
      </c>
      <c r="I110" s="54">
        <f t="shared" si="41"/>
        <v>0</v>
      </c>
      <c r="J110" s="54">
        <f t="shared" ref="J110:O110" si="42">SUM(J111:J112)</f>
        <v>0</v>
      </c>
      <c r="K110" s="54">
        <f t="shared" si="42"/>
        <v>0</v>
      </c>
      <c r="L110" s="54">
        <f t="shared" si="42"/>
        <v>0</v>
      </c>
      <c r="M110" s="54">
        <f t="shared" si="42"/>
        <v>0</v>
      </c>
      <c r="N110" s="54">
        <f t="shared" si="42"/>
        <v>0</v>
      </c>
      <c r="O110" s="54">
        <f t="shared" si="42"/>
        <v>0</v>
      </c>
      <c r="P110" s="26"/>
    </row>
    <row r="111" spans="1:17" ht="27" hidden="1" customHeight="1">
      <c r="A111" s="78"/>
      <c r="B111" s="78"/>
      <c r="C111" s="79" t="s">
        <v>54</v>
      </c>
      <c r="D111" s="80">
        <f>15500-5500-10000</f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f>15500-5500-10000</f>
        <v>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153" t="s">
        <v>16</v>
      </c>
    </row>
    <row r="112" spans="1:17" s="95" customFormat="1" ht="39.75" hidden="1" customHeight="1">
      <c r="A112" s="108"/>
      <c r="B112" s="108"/>
      <c r="C112" s="89" t="s">
        <v>55</v>
      </c>
      <c r="D112" s="86">
        <f>3825+1175-3825-1175</f>
        <v>0</v>
      </c>
      <c r="E112" s="86">
        <f>SUM(F112:I112)</f>
        <v>0</v>
      </c>
      <c r="F112" s="86">
        <v>0</v>
      </c>
      <c r="G112" s="86">
        <v>0</v>
      </c>
      <c r="H112" s="86">
        <v>0</v>
      </c>
      <c r="I112" s="86">
        <v>0</v>
      </c>
      <c r="J112" s="86">
        <f>3825+1175-3825-1175</f>
        <v>0</v>
      </c>
      <c r="K112" s="86">
        <f>SUM(L112:O112)</f>
        <v>0</v>
      </c>
      <c r="L112" s="86">
        <v>0</v>
      </c>
      <c r="M112" s="86">
        <v>0</v>
      </c>
      <c r="N112" s="86">
        <v>0</v>
      </c>
      <c r="O112" s="86">
        <v>0</v>
      </c>
      <c r="P112" s="154"/>
      <c r="Q112" s="1"/>
    </row>
    <row r="113" spans="1:16" s="21" customFormat="1" ht="14.25" customHeight="1">
      <c r="A113" s="17" t="s">
        <v>158</v>
      </c>
      <c r="B113" s="17"/>
      <c r="C113" s="18" t="s">
        <v>161</v>
      </c>
      <c r="D113" s="19">
        <f t="shared" ref="D113:O113" si="43">D114</f>
        <v>0</v>
      </c>
      <c r="E113" s="19">
        <f t="shared" si="43"/>
        <v>81500</v>
      </c>
      <c r="F113" s="19">
        <f t="shared" si="43"/>
        <v>81500</v>
      </c>
      <c r="G113" s="19">
        <f t="shared" si="43"/>
        <v>0</v>
      </c>
      <c r="H113" s="19">
        <f t="shared" si="43"/>
        <v>0</v>
      </c>
      <c r="I113" s="19">
        <f t="shared" si="43"/>
        <v>0</v>
      </c>
      <c r="J113" s="19">
        <f t="shared" si="43"/>
        <v>0</v>
      </c>
      <c r="K113" s="19">
        <f t="shared" si="43"/>
        <v>80843</v>
      </c>
      <c r="L113" s="19">
        <f t="shared" si="43"/>
        <v>80843</v>
      </c>
      <c r="M113" s="19">
        <f t="shared" si="43"/>
        <v>0</v>
      </c>
      <c r="N113" s="19">
        <f t="shared" si="43"/>
        <v>0</v>
      </c>
      <c r="O113" s="19">
        <f t="shared" si="43"/>
        <v>0</v>
      </c>
      <c r="P113" s="20"/>
    </row>
    <row r="114" spans="1:16" s="27" customFormat="1" ht="15.75" customHeight="1">
      <c r="A114" s="22"/>
      <c r="B114" s="52" t="s">
        <v>159</v>
      </c>
      <c r="C114" s="53" t="s">
        <v>160</v>
      </c>
      <c r="D114" s="54">
        <f>SUM(D115:D117)</f>
        <v>0</v>
      </c>
      <c r="E114" s="54">
        <f t="shared" ref="E114:I114" si="44">SUM(E115:E117)</f>
        <v>81500</v>
      </c>
      <c r="F114" s="54">
        <f t="shared" si="44"/>
        <v>81500</v>
      </c>
      <c r="G114" s="54">
        <f t="shared" si="44"/>
        <v>0</v>
      </c>
      <c r="H114" s="54">
        <f t="shared" si="44"/>
        <v>0</v>
      </c>
      <c r="I114" s="54">
        <f t="shared" si="44"/>
        <v>0</v>
      </c>
      <c r="J114" s="54">
        <f>SUM(J115:J117)</f>
        <v>0</v>
      </c>
      <c r="K114" s="54">
        <f t="shared" ref="K114:O114" si="45">SUM(K115:K117)</f>
        <v>80843</v>
      </c>
      <c r="L114" s="54">
        <f t="shared" si="45"/>
        <v>80843</v>
      </c>
      <c r="M114" s="54">
        <f t="shared" si="45"/>
        <v>0</v>
      </c>
      <c r="N114" s="54">
        <f t="shared" si="45"/>
        <v>0</v>
      </c>
      <c r="O114" s="54">
        <f t="shared" si="45"/>
        <v>0</v>
      </c>
      <c r="P114" s="26"/>
    </row>
    <row r="115" spans="1:16" ht="44.25" customHeight="1">
      <c r="A115" s="57"/>
      <c r="B115" s="29"/>
      <c r="C115" s="79" t="s">
        <v>162</v>
      </c>
      <c r="D115" s="80">
        <v>0</v>
      </c>
      <c r="E115" s="80">
        <f>SUM(F115:I115)</f>
        <v>13500</v>
      </c>
      <c r="F115" s="80">
        <v>13500</v>
      </c>
      <c r="G115" s="80">
        <v>0</v>
      </c>
      <c r="H115" s="80">
        <v>0</v>
      </c>
      <c r="I115" s="80">
        <v>0</v>
      </c>
      <c r="J115" s="80">
        <v>0</v>
      </c>
      <c r="K115" s="80">
        <f>SUM(L115:O115)</f>
        <v>13095</v>
      </c>
      <c r="L115" s="80">
        <v>13095</v>
      </c>
      <c r="M115" s="80">
        <v>0</v>
      </c>
      <c r="N115" s="80">
        <v>0</v>
      </c>
      <c r="O115" s="80">
        <v>0</v>
      </c>
      <c r="P115" s="153" t="s">
        <v>163</v>
      </c>
    </row>
    <row r="116" spans="1:16" ht="25.5" customHeight="1">
      <c r="A116" s="57"/>
      <c r="B116" s="29"/>
      <c r="C116" s="89" t="s">
        <v>165</v>
      </c>
      <c r="D116" s="86"/>
      <c r="E116" s="86">
        <f t="shared" ref="E116:E117" si="46">SUM(F116:I116)</f>
        <v>55000</v>
      </c>
      <c r="F116" s="86">
        <v>55000</v>
      </c>
      <c r="G116" s="86">
        <v>0</v>
      </c>
      <c r="H116" s="86">
        <v>0</v>
      </c>
      <c r="I116" s="86">
        <v>0</v>
      </c>
      <c r="J116" s="86">
        <v>0</v>
      </c>
      <c r="K116" s="86">
        <f t="shared" ref="K116:K117" si="47">SUM(L116:O116)</f>
        <v>54932</v>
      </c>
      <c r="L116" s="86">
        <v>54932</v>
      </c>
      <c r="M116" s="86">
        <v>0</v>
      </c>
      <c r="N116" s="86">
        <v>0</v>
      </c>
      <c r="O116" s="86">
        <v>0</v>
      </c>
      <c r="P116" s="38" t="s">
        <v>164</v>
      </c>
    </row>
    <row r="117" spans="1:16" ht="25.5" customHeight="1">
      <c r="A117" s="155"/>
      <c r="B117" s="156"/>
      <c r="C117" s="79" t="s">
        <v>166</v>
      </c>
      <c r="D117" s="80"/>
      <c r="E117" s="80">
        <f t="shared" si="46"/>
        <v>13000</v>
      </c>
      <c r="F117" s="80">
        <v>13000</v>
      </c>
      <c r="G117" s="80">
        <v>0</v>
      </c>
      <c r="H117" s="80">
        <v>0</v>
      </c>
      <c r="I117" s="80">
        <v>0</v>
      </c>
      <c r="J117" s="80">
        <v>0</v>
      </c>
      <c r="K117" s="80">
        <f t="shared" si="47"/>
        <v>12816</v>
      </c>
      <c r="L117" s="80">
        <v>12816</v>
      </c>
      <c r="M117" s="80">
        <v>0</v>
      </c>
      <c r="N117" s="80">
        <v>0</v>
      </c>
      <c r="O117" s="80">
        <v>0</v>
      </c>
      <c r="P117" s="50"/>
    </row>
    <row r="118" spans="1:16" s="21" customFormat="1" ht="14.25" customHeight="1">
      <c r="A118" s="17" t="s">
        <v>134</v>
      </c>
      <c r="B118" s="17"/>
      <c r="C118" s="18" t="s">
        <v>136</v>
      </c>
      <c r="D118" s="19">
        <f t="shared" ref="D118:O118" si="48">D119</f>
        <v>0</v>
      </c>
      <c r="E118" s="19">
        <f t="shared" si="48"/>
        <v>50000</v>
      </c>
      <c r="F118" s="19">
        <f t="shared" si="48"/>
        <v>50000</v>
      </c>
      <c r="G118" s="19">
        <f t="shared" si="48"/>
        <v>0</v>
      </c>
      <c r="H118" s="19">
        <f t="shared" si="48"/>
        <v>0</v>
      </c>
      <c r="I118" s="19">
        <f t="shared" si="48"/>
        <v>0</v>
      </c>
      <c r="J118" s="19">
        <f t="shared" si="48"/>
        <v>0</v>
      </c>
      <c r="K118" s="19">
        <f t="shared" si="48"/>
        <v>47900</v>
      </c>
      <c r="L118" s="19">
        <f t="shared" si="48"/>
        <v>47900</v>
      </c>
      <c r="M118" s="19">
        <f t="shared" si="48"/>
        <v>0</v>
      </c>
      <c r="N118" s="19">
        <f t="shared" si="48"/>
        <v>0</v>
      </c>
      <c r="O118" s="19">
        <f t="shared" si="48"/>
        <v>0</v>
      </c>
      <c r="P118" s="20"/>
    </row>
    <row r="119" spans="1:16" s="27" customFormat="1" ht="15.75" customHeight="1">
      <c r="A119" s="22"/>
      <c r="B119" s="52" t="s">
        <v>135</v>
      </c>
      <c r="C119" s="53" t="s">
        <v>137</v>
      </c>
      <c r="D119" s="54">
        <f t="shared" ref="D119:O119" si="49">SUM(D120:D120)</f>
        <v>0</v>
      </c>
      <c r="E119" s="54">
        <f t="shared" si="49"/>
        <v>50000</v>
      </c>
      <c r="F119" s="54">
        <f t="shared" si="49"/>
        <v>50000</v>
      </c>
      <c r="G119" s="54">
        <f t="shared" si="49"/>
        <v>0</v>
      </c>
      <c r="H119" s="54">
        <f t="shared" si="49"/>
        <v>0</v>
      </c>
      <c r="I119" s="54">
        <f t="shared" si="49"/>
        <v>0</v>
      </c>
      <c r="J119" s="54">
        <f t="shared" si="49"/>
        <v>0</v>
      </c>
      <c r="K119" s="54">
        <f t="shared" si="49"/>
        <v>47900</v>
      </c>
      <c r="L119" s="54">
        <f t="shared" si="49"/>
        <v>47900</v>
      </c>
      <c r="M119" s="54">
        <f t="shared" si="49"/>
        <v>0</v>
      </c>
      <c r="N119" s="54">
        <f t="shared" si="49"/>
        <v>0</v>
      </c>
      <c r="O119" s="54">
        <f t="shared" si="49"/>
        <v>0</v>
      </c>
      <c r="P119" s="26"/>
    </row>
    <row r="120" spans="1:16" ht="44.25" customHeight="1">
      <c r="A120" s="155"/>
      <c r="B120" s="156"/>
      <c r="C120" s="79" t="s">
        <v>41</v>
      </c>
      <c r="D120" s="80">
        <v>0</v>
      </c>
      <c r="E120" s="80">
        <f>SUM(F120:I120)</f>
        <v>50000</v>
      </c>
      <c r="F120" s="80">
        <v>50000</v>
      </c>
      <c r="G120" s="80">
        <v>0</v>
      </c>
      <c r="H120" s="80">
        <v>0</v>
      </c>
      <c r="I120" s="80">
        <v>0</v>
      </c>
      <c r="J120" s="80">
        <v>0</v>
      </c>
      <c r="K120" s="80">
        <f>SUM(L120:O120)</f>
        <v>47900</v>
      </c>
      <c r="L120" s="80">
        <v>47900</v>
      </c>
      <c r="M120" s="80">
        <v>0</v>
      </c>
      <c r="N120" s="80">
        <v>0</v>
      </c>
      <c r="O120" s="80">
        <v>0</v>
      </c>
      <c r="P120" s="153" t="s">
        <v>139</v>
      </c>
    </row>
    <row r="121" spans="1:16" s="21" customFormat="1" ht="14.25" customHeight="1">
      <c r="A121" s="17" t="s">
        <v>56</v>
      </c>
      <c r="B121" s="17"/>
      <c r="C121" s="18" t="s">
        <v>75</v>
      </c>
      <c r="D121" s="19">
        <f t="shared" ref="D121:O121" si="50">D122</f>
        <v>40000</v>
      </c>
      <c r="E121" s="19">
        <f t="shared" si="50"/>
        <v>0</v>
      </c>
      <c r="F121" s="19">
        <f t="shared" si="50"/>
        <v>0</v>
      </c>
      <c r="G121" s="19">
        <f t="shared" si="50"/>
        <v>0</v>
      </c>
      <c r="H121" s="19">
        <f t="shared" si="50"/>
        <v>0</v>
      </c>
      <c r="I121" s="19">
        <f t="shared" si="50"/>
        <v>0</v>
      </c>
      <c r="J121" s="19">
        <f t="shared" si="50"/>
        <v>31868</v>
      </c>
      <c r="K121" s="19">
        <f t="shared" si="50"/>
        <v>0</v>
      </c>
      <c r="L121" s="19">
        <f t="shared" si="50"/>
        <v>0</v>
      </c>
      <c r="M121" s="19">
        <f t="shared" si="50"/>
        <v>0</v>
      </c>
      <c r="N121" s="19">
        <f t="shared" si="50"/>
        <v>0</v>
      </c>
      <c r="O121" s="19">
        <f t="shared" si="50"/>
        <v>0</v>
      </c>
      <c r="P121" s="20"/>
    </row>
    <row r="122" spans="1:16" s="27" customFormat="1" ht="15.75" customHeight="1">
      <c r="A122" s="22"/>
      <c r="B122" s="52" t="s">
        <v>57</v>
      </c>
      <c r="C122" s="53" t="s">
        <v>76</v>
      </c>
      <c r="D122" s="54">
        <f>SUM(D123:D124)</f>
        <v>40000</v>
      </c>
      <c r="E122" s="54">
        <f t="shared" ref="E122:I122" si="51">SUM(E123:E124)</f>
        <v>0</v>
      </c>
      <c r="F122" s="54">
        <f t="shared" si="51"/>
        <v>0</v>
      </c>
      <c r="G122" s="54">
        <f t="shared" si="51"/>
        <v>0</v>
      </c>
      <c r="H122" s="54">
        <f t="shared" si="51"/>
        <v>0</v>
      </c>
      <c r="I122" s="54">
        <f t="shared" si="51"/>
        <v>0</v>
      </c>
      <c r="J122" s="54">
        <f>SUM(J123:J124)</f>
        <v>31868</v>
      </c>
      <c r="K122" s="54">
        <f t="shared" ref="K122:O122" si="52">SUM(K123:K124)</f>
        <v>0</v>
      </c>
      <c r="L122" s="54">
        <f t="shared" si="52"/>
        <v>0</v>
      </c>
      <c r="M122" s="54">
        <f t="shared" si="52"/>
        <v>0</v>
      </c>
      <c r="N122" s="54">
        <f t="shared" si="52"/>
        <v>0</v>
      </c>
      <c r="O122" s="54">
        <f t="shared" si="52"/>
        <v>0</v>
      </c>
      <c r="P122" s="26"/>
    </row>
    <row r="123" spans="1:16" s="61" customFormat="1" ht="28.5" hidden="1" customHeight="1">
      <c r="A123" s="151"/>
      <c r="B123" s="151"/>
      <c r="C123" s="140" t="s">
        <v>9</v>
      </c>
      <c r="D123" s="157">
        <f>10800+1200-10800-1200</f>
        <v>0</v>
      </c>
      <c r="E123" s="142">
        <f>SUM(F123:I123)</f>
        <v>0</v>
      </c>
      <c r="F123" s="142">
        <v>0</v>
      </c>
      <c r="G123" s="142">
        <v>0</v>
      </c>
      <c r="H123" s="142">
        <v>0</v>
      </c>
      <c r="I123" s="142">
        <v>0</v>
      </c>
      <c r="J123" s="157">
        <f>10800+1200-10800-1200</f>
        <v>0</v>
      </c>
      <c r="K123" s="142">
        <f>SUM(L123:O123)</f>
        <v>0</v>
      </c>
      <c r="L123" s="142">
        <v>0</v>
      </c>
      <c r="M123" s="142">
        <v>0</v>
      </c>
      <c r="N123" s="142">
        <v>0</v>
      </c>
      <c r="O123" s="142">
        <v>0</v>
      </c>
      <c r="P123" s="33" t="s">
        <v>138</v>
      </c>
    </row>
    <row r="124" spans="1:16" s="61" customFormat="1" ht="30" customHeight="1">
      <c r="A124" s="152"/>
      <c r="B124" s="152"/>
      <c r="C124" s="140" t="s">
        <v>132</v>
      </c>
      <c r="D124" s="141">
        <f>34000+6000</f>
        <v>40000</v>
      </c>
      <c r="E124" s="141">
        <f>SUM(F124:I124)</f>
        <v>0</v>
      </c>
      <c r="F124" s="141">
        <v>0</v>
      </c>
      <c r="G124" s="141">
        <v>0</v>
      </c>
      <c r="H124" s="141">
        <v>0</v>
      </c>
      <c r="I124" s="141">
        <v>0</v>
      </c>
      <c r="J124" s="141">
        <v>31868</v>
      </c>
      <c r="K124" s="141">
        <f>SUM(L124:O124)</f>
        <v>0</v>
      </c>
      <c r="L124" s="141">
        <v>0</v>
      </c>
      <c r="M124" s="141">
        <v>0</v>
      </c>
      <c r="N124" s="141">
        <v>0</v>
      </c>
      <c r="O124" s="141">
        <v>0</v>
      </c>
      <c r="P124" s="50"/>
    </row>
    <row r="125" spans="1:16" s="21" customFormat="1" ht="14.25" customHeight="1">
      <c r="A125" s="17" t="s">
        <v>58</v>
      </c>
      <c r="B125" s="17"/>
      <c r="C125" s="18" t="s">
        <v>77</v>
      </c>
      <c r="D125" s="19">
        <f>D126</f>
        <v>50000</v>
      </c>
      <c r="E125" s="19">
        <f t="shared" ref="E125:O126" si="53">E126</f>
        <v>0</v>
      </c>
      <c r="F125" s="19">
        <f t="shared" si="53"/>
        <v>0</v>
      </c>
      <c r="G125" s="19">
        <f t="shared" si="53"/>
        <v>0</v>
      </c>
      <c r="H125" s="19">
        <f t="shared" si="53"/>
        <v>0</v>
      </c>
      <c r="I125" s="19">
        <f t="shared" si="53"/>
        <v>0</v>
      </c>
      <c r="J125" s="19">
        <f>J126</f>
        <v>0</v>
      </c>
      <c r="K125" s="19">
        <f t="shared" si="53"/>
        <v>0</v>
      </c>
      <c r="L125" s="19">
        <f t="shared" si="53"/>
        <v>0</v>
      </c>
      <c r="M125" s="19">
        <f t="shared" si="53"/>
        <v>0</v>
      </c>
      <c r="N125" s="19">
        <f t="shared" si="53"/>
        <v>0</v>
      </c>
      <c r="O125" s="19">
        <f t="shared" si="53"/>
        <v>0</v>
      </c>
      <c r="P125" s="20"/>
    </row>
    <row r="126" spans="1:16" s="27" customFormat="1" ht="15.75" customHeight="1">
      <c r="A126" s="51"/>
      <c r="B126" s="52" t="s">
        <v>93</v>
      </c>
      <c r="C126" s="53" t="s">
        <v>69</v>
      </c>
      <c r="D126" s="54">
        <f>D127</f>
        <v>50000</v>
      </c>
      <c r="E126" s="54">
        <f t="shared" si="53"/>
        <v>0</v>
      </c>
      <c r="F126" s="54">
        <f t="shared" si="53"/>
        <v>0</v>
      </c>
      <c r="G126" s="54">
        <f t="shared" si="53"/>
        <v>0</v>
      </c>
      <c r="H126" s="54">
        <f t="shared" si="53"/>
        <v>0</v>
      </c>
      <c r="I126" s="54">
        <f t="shared" si="53"/>
        <v>0</v>
      </c>
      <c r="J126" s="54">
        <f>J127</f>
        <v>0</v>
      </c>
      <c r="K126" s="54">
        <f t="shared" si="53"/>
        <v>0</v>
      </c>
      <c r="L126" s="54">
        <f t="shared" si="53"/>
        <v>0</v>
      </c>
      <c r="M126" s="54">
        <f t="shared" si="53"/>
        <v>0</v>
      </c>
      <c r="N126" s="54">
        <f t="shared" si="53"/>
        <v>0</v>
      </c>
      <c r="O126" s="54">
        <f t="shared" si="53"/>
        <v>0</v>
      </c>
      <c r="P126" s="26"/>
    </row>
    <row r="127" spans="1:16" ht="53.25" customHeight="1">
      <c r="A127" s="158"/>
      <c r="B127" s="158"/>
      <c r="C127" s="79" t="s">
        <v>94</v>
      </c>
      <c r="D127" s="80">
        <v>50000</v>
      </c>
      <c r="E127" s="81">
        <f>SUM(F127:I127)</f>
        <v>0</v>
      </c>
      <c r="F127" s="81">
        <v>0</v>
      </c>
      <c r="G127" s="81">
        <v>0</v>
      </c>
      <c r="H127" s="81">
        <v>0</v>
      </c>
      <c r="I127" s="81">
        <v>0</v>
      </c>
      <c r="J127" s="80">
        <v>0</v>
      </c>
      <c r="K127" s="81">
        <f>SUM(L127:O127)</f>
        <v>0</v>
      </c>
      <c r="L127" s="81">
        <v>0</v>
      </c>
      <c r="M127" s="81">
        <v>0</v>
      </c>
      <c r="N127" s="81">
        <v>0</v>
      </c>
      <c r="O127" s="81">
        <v>0</v>
      </c>
      <c r="P127" s="87" t="s">
        <v>16</v>
      </c>
    </row>
    <row r="128" spans="1:16" s="21" customFormat="1" ht="28.5" customHeight="1">
      <c r="A128" s="159" t="s">
        <v>59</v>
      </c>
      <c r="B128" s="17"/>
      <c r="C128" s="18" t="s">
        <v>78</v>
      </c>
      <c r="D128" s="19">
        <f t="shared" ref="D128:O128" si="54">D129</f>
        <v>0</v>
      </c>
      <c r="E128" s="19">
        <f t="shared" si="54"/>
        <v>741000</v>
      </c>
      <c r="F128" s="19">
        <f t="shared" si="54"/>
        <v>113000</v>
      </c>
      <c r="G128" s="19">
        <f t="shared" si="54"/>
        <v>0</v>
      </c>
      <c r="H128" s="19">
        <f t="shared" si="54"/>
        <v>628000</v>
      </c>
      <c r="I128" s="19">
        <f t="shared" si="54"/>
        <v>0</v>
      </c>
      <c r="J128" s="19">
        <f t="shared" si="54"/>
        <v>0</v>
      </c>
      <c r="K128" s="19">
        <f t="shared" si="54"/>
        <v>740839</v>
      </c>
      <c r="L128" s="19">
        <f t="shared" si="54"/>
        <v>113000</v>
      </c>
      <c r="M128" s="19">
        <f t="shared" si="54"/>
        <v>0</v>
      </c>
      <c r="N128" s="19">
        <f t="shared" si="54"/>
        <v>627839</v>
      </c>
      <c r="O128" s="19">
        <f t="shared" si="54"/>
        <v>0</v>
      </c>
      <c r="P128" s="20"/>
    </row>
    <row r="129" spans="1:16" s="27" customFormat="1" ht="15.75" customHeight="1">
      <c r="A129" s="51"/>
      <c r="B129" s="52" t="s">
        <v>60</v>
      </c>
      <c r="C129" s="53" t="s">
        <v>79</v>
      </c>
      <c r="D129" s="54">
        <f>SUM(D130:D133)</f>
        <v>0</v>
      </c>
      <c r="E129" s="54">
        <f>SUM(E130:E133)</f>
        <v>741000</v>
      </c>
      <c r="F129" s="54">
        <f t="shared" ref="F129:I129" si="55">SUM(F130:F133)</f>
        <v>113000</v>
      </c>
      <c r="G129" s="54">
        <f t="shared" si="55"/>
        <v>0</v>
      </c>
      <c r="H129" s="54">
        <f t="shared" si="55"/>
        <v>628000</v>
      </c>
      <c r="I129" s="54">
        <f t="shared" si="55"/>
        <v>0</v>
      </c>
      <c r="J129" s="54">
        <f>SUM(J130:J133)</f>
        <v>0</v>
      </c>
      <c r="K129" s="54">
        <f>SUM(K130:K133)</f>
        <v>740839</v>
      </c>
      <c r="L129" s="54">
        <f t="shared" ref="L129:O129" si="56">SUM(L130:L133)</f>
        <v>113000</v>
      </c>
      <c r="M129" s="54">
        <f t="shared" si="56"/>
        <v>0</v>
      </c>
      <c r="N129" s="54">
        <f t="shared" si="56"/>
        <v>627839</v>
      </c>
      <c r="O129" s="54">
        <f t="shared" si="56"/>
        <v>0</v>
      </c>
      <c r="P129" s="26"/>
    </row>
    <row r="130" spans="1:16" s="62" customFormat="1" ht="41.25" hidden="1" customHeight="1">
      <c r="A130" s="28"/>
      <c r="B130" s="88"/>
      <c r="C130" s="140" t="s">
        <v>99</v>
      </c>
      <c r="D130" s="141">
        <f>22000-22000</f>
        <v>0</v>
      </c>
      <c r="E130" s="142">
        <f>SUM(F130:I130)</f>
        <v>0</v>
      </c>
      <c r="F130" s="142">
        <v>0</v>
      </c>
      <c r="G130" s="142">
        <v>0</v>
      </c>
      <c r="H130" s="142">
        <v>0</v>
      </c>
      <c r="I130" s="142">
        <v>0</v>
      </c>
      <c r="J130" s="141">
        <f>22000-22000</f>
        <v>0</v>
      </c>
      <c r="K130" s="142">
        <f>SUM(L130:O130)</f>
        <v>0</v>
      </c>
      <c r="L130" s="142">
        <v>0</v>
      </c>
      <c r="M130" s="142">
        <v>0</v>
      </c>
      <c r="N130" s="142">
        <v>0</v>
      </c>
      <c r="O130" s="142">
        <v>0</v>
      </c>
      <c r="P130" s="90" t="s">
        <v>92</v>
      </c>
    </row>
    <row r="131" spans="1:16" ht="27.75" customHeight="1">
      <c r="A131" s="77"/>
      <c r="B131" s="77"/>
      <c r="C131" s="79" t="s">
        <v>91</v>
      </c>
      <c r="D131" s="80">
        <v>0</v>
      </c>
      <c r="E131" s="80">
        <f>SUM(F131:I131)</f>
        <v>671000</v>
      </c>
      <c r="F131" s="80">
        <f>70000+3000</f>
        <v>73000</v>
      </c>
      <c r="G131" s="80">
        <v>0</v>
      </c>
      <c r="H131" s="80">
        <v>598000</v>
      </c>
      <c r="I131" s="80">
        <v>0</v>
      </c>
      <c r="J131" s="80">
        <v>0</v>
      </c>
      <c r="K131" s="80">
        <f>SUM(L131:O131)</f>
        <v>670839</v>
      </c>
      <c r="L131" s="80">
        <v>73000</v>
      </c>
      <c r="M131" s="80">
        <v>0</v>
      </c>
      <c r="N131" s="80">
        <v>597839</v>
      </c>
      <c r="O131" s="80">
        <v>0</v>
      </c>
      <c r="P131" s="160" t="s">
        <v>142</v>
      </c>
    </row>
    <row r="132" spans="1:16" ht="27.75" customHeight="1">
      <c r="A132" s="77"/>
      <c r="B132" s="77"/>
      <c r="C132" s="79" t="s">
        <v>143</v>
      </c>
      <c r="D132" s="80">
        <v>0</v>
      </c>
      <c r="E132" s="80">
        <f>SUM(F132:I132)</f>
        <v>60000</v>
      </c>
      <c r="F132" s="80">
        <v>30000</v>
      </c>
      <c r="G132" s="80">
        <v>0</v>
      </c>
      <c r="H132" s="80">
        <v>30000</v>
      </c>
      <c r="I132" s="80">
        <v>0</v>
      </c>
      <c r="J132" s="80">
        <v>0</v>
      </c>
      <c r="K132" s="80">
        <f>SUM(L132:O132)</f>
        <v>60000</v>
      </c>
      <c r="L132" s="80">
        <v>30000</v>
      </c>
      <c r="M132" s="80">
        <v>0</v>
      </c>
      <c r="N132" s="80">
        <v>30000</v>
      </c>
      <c r="O132" s="80">
        <v>0</v>
      </c>
      <c r="P132" s="161"/>
    </row>
    <row r="133" spans="1:16" ht="40.5" customHeight="1">
      <c r="A133" s="77"/>
      <c r="B133" s="77"/>
      <c r="C133" s="79" t="s">
        <v>119</v>
      </c>
      <c r="D133" s="80">
        <v>0</v>
      </c>
      <c r="E133" s="80">
        <f>SUM(F133:I133)</f>
        <v>10000</v>
      </c>
      <c r="F133" s="80">
        <v>10000</v>
      </c>
      <c r="G133" s="80">
        <v>0</v>
      </c>
      <c r="H133" s="80">
        <v>0</v>
      </c>
      <c r="I133" s="80">
        <v>0</v>
      </c>
      <c r="J133" s="80">
        <v>0</v>
      </c>
      <c r="K133" s="80">
        <f>SUM(L133:O133)</f>
        <v>10000</v>
      </c>
      <c r="L133" s="80">
        <v>10000</v>
      </c>
      <c r="M133" s="80">
        <v>0</v>
      </c>
      <c r="N133" s="80">
        <v>0</v>
      </c>
      <c r="O133" s="80">
        <v>0</v>
      </c>
      <c r="P133" s="90" t="s">
        <v>122</v>
      </c>
    </row>
    <row r="134" spans="1:16" s="167" customFormat="1" ht="18" customHeight="1">
      <c r="A134" s="162" t="s">
        <v>131</v>
      </c>
      <c r="B134" s="163"/>
      <c r="C134" s="164"/>
      <c r="D134" s="165">
        <f t="shared" ref="D134:O134" si="57">SUM(D9+D30+D33+D92+D101+D121+D125+D128+D97+D118+D89+D113)</f>
        <v>235741301</v>
      </c>
      <c r="E134" s="165">
        <f t="shared" si="57"/>
        <v>9796556</v>
      </c>
      <c r="F134" s="165">
        <f t="shared" si="57"/>
        <v>7868556</v>
      </c>
      <c r="G134" s="165">
        <f t="shared" si="57"/>
        <v>800000</v>
      </c>
      <c r="H134" s="165">
        <f t="shared" si="57"/>
        <v>1128000</v>
      </c>
      <c r="I134" s="165">
        <f t="shared" si="57"/>
        <v>0</v>
      </c>
      <c r="J134" s="165">
        <f t="shared" si="57"/>
        <v>227408737</v>
      </c>
      <c r="K134" s="165">
        <f t="shared" si="57"/>
        <v>8959749</v>
      </c>
      <c r="L134" s="165">
        <f t="shared" si="57"/>
        <v>7372502</v>
      </c>
      <c r="M134" s="165">
        <f t="shared" si="57"/>
        <v>800000</v>
      </c>
      <c r="N134" s="165">
        <f t="shared" si="57"/>
        <v>787247</v>
      </c>
      <c r="O134" s="165">
        <f t="shared" si="57"/>
        <v>0</v>
      </c>
      <c r="P134" s="166"/>
    </row>
    <row r="135" spans="1:16">
      <c r="D135" s="168"/>
      <c r="J135" s="168"/>
    </row>
    <row r="136" spans="1:16">
      <c r="C136" s="169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</row>
    <row r="137" spans="1:16">
      <c r="D137" s="168"/>
      <c r="J137" s="168"/>
    </row>
  </sheetData>
  <mergeCells count="27">
    <mergeCell ref="P15:P17"/>
    <mergeCell ref="P21:P23"/>
    <mergeCell ref="P35:P37"/>
    <mergeCell ref="P11:P14"/>
    <mergeCell ref="A134:C134"/>
    <mergeCell ref="P19:P20"/>
    <mergeCell ref="P99:P100"/>
    <mergeCell ref="P123:P124"/>
    <mergeCell ref="P131:P132"/>
    <mergeCell ref="P86:P88"/>
    <mergeCell ref="P116:P117"/>
    <mergeCell ref="P94:P96"/>
    <mergeCell ref="P39:P41"/>
    <mergeCell ref="P42:P67"/>
    <mergeCell ref="P68:P82"/>
    <mergeCell ref="P105:P109"/>
    <mergeCell ref="A3:P3"/>
    <mergeCell ref="C6:C7"/>
    <mergeCell ref="D6:D7"/>
    <mergeCell ref="A6:A7"/>
    <mergeCell ref="B6:B7"/>
    <mergeCell ref="P6:P7"/>
    <mergeCell ref="J6:J7"/>
    <mergeCell ref="F6:I6"/>
    <mergeCell ref="E6:E7"/>
    <mergeCell ref="L6:O6"/>
    <mergeCell ref="K6:K7"/>
  </mergeCells>
  <phoneticPr fontId="1" type="noConversion"/>
  <printOptions horizontalCentered="1"/>
  <pageMargins left="0.70866141732283472" right="0.70866141732283472" top="0.98425196850393704" bottom="0.70866141732283472" header="0.51181102362204722" footer="0.39370078740157483"/>
  <pageSetup paperSize="9" scale="55" orientation="landscape" r:id="rId1"/>
  <headerFooter alignWithMargins="0">
    <oddFooter>Strona &amp;P z &amp;N</oddFooter>
  </headerFooter>
  <rowBreaks count="1" manualBreakCount="1">
    <brk id="11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2013-03-19T14:02:24Z</cp:lastPrinted>
  <dcterms:created xsi:type="dcterms:W3CDTF">2010-11-24T14:24:05Z</dcterms:created>
  <dcterms:modified xsi:type="dcterms:W3CDTF">2013-03-28T13:17:48Z</dcterms:modified>
</cp:coreProperties>
</file>