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480" windowHeight="8190" tabRatio="146" activeTab="1"/>
  </bookViews>
  <sheets>
    <sheet name="Dane" sheetId="6" r:id="rId1"/>
    <sheet name="kwota długu" sheetId="2" r:id="rId2"/>
    <sheet name="Raty spłat" sheetId="5" r:id="rId3"/>
  </sheets>
  <externalReferences>
    <externalReference r:id="rId4"/>
    <externalReference r:id="rId5"/>
  </externalReferences>
  <definedNames>
    <definedName name="_xlnm.Print_Area" localSheetId="1">'kwota długu'!$B$1:$V$64</definedName>
    <definedName name="_xlnm.Print_Area" localSheetId="2">'Raty spłat'!$A$1:$Y$85</definedName>
    <definedName name="_xlnm.Print_Titles" localSheetId="1">'kwota długu'!$14:$14</definedName>
  </definedNames>
  <calcPr calcId="125725"/>
</workbook>
</file>

<file path=xl/calcChain.xml><?xml version="1.0" encoding="utf-8"?>
<calcChain xmlns="http://schemas.openxmlformats.org/spreadsheetml/2006/main">
  <c r="C15" i="2"/>
  <c r="C19"/>
  <c r="C24" s="1"/>
  <c r="C20"/>
  <c r="C21" s="1"/>
  <c r="C22"/>
  <c r="C23"/>
  <c r="C25"/>
  <c r="C26"/>
  <c r="C36"/>
  <c r="C47"/>
  <c r="C54" s="1"/>
  <c r="C48"/>
  <c r="C55"/>
  <c r="C62" s="1"/>
  <c r="C68"/>
  <c r="C69" s="1"/>
  <c r="C66" l="1"/>
  <c r="E19"/>
  <c r="D22"/>
  <c r="J16" l="1"/>
  <c r="J17"/>
  <c r="I17"/>
  <c r="I21"/>
  <c r="H17"/>
  <c r="H16"/>
  <c r="I16"/>
  <c r="I23"/>
  <c r="H23"/>
  <c r="H21"/>
  <c r="J11" i="6"/>
  <c r="K23" i="2" l="1"/>
  <c r="J23"/>
  <c r="J27"/>
  <c r="K13" i="6" l="1"/>
  <c r="L13"/>
  <c r="M13"/>
  <c r="N13"/>
  <c r="O13"/>
  <c r="P13"/>
  <c r="Q13"/>
  <c r="R13"/>
  <c r="S13"/>
  <c r="T13"/>
  <c r="U13"/>
  <c r="V13"/>
  <c r="W13"/>
  <c r="X13"/>
  <c r="Y13"/>
  <c r="J13"/>
  <c r="I39" l="1"/>
  <c r="I30"/>
  <c r="H16"/>
  <c r="H33"/>
  <c r="I37" l="1"/>
  <c r="J37"/>
  <c r="K37"/>
  <c r="L37"/>
  <c r="H37"/>
  <c r="H24"/>
  <c r="I15"/>
  <c r="J15"/>
  <c r="K15"/>
  <c r="X15"/>
  <c r="Y15"/>
  <c r="H15"/>
  <c r="H19" s="1"/>
  <c r="I7"/>
  <c r="J7"/>
  <c r="K7"/>
  <c r="X7"/>
  <c r="Y7"/>
  <c r="H7"/>
  <c r="Y41" i="5" l="1"/>
  <c r="M27" i="2"/>
  <c r="N27"/>
  <c r="O27"/>
  <c r="P27"/>
  <c r="Q27"/>
  <c r="R27"/>
  <c r="S27"/>
  <c r="T27"/>
  <c r="U27"/>
  <c r="V27"/>
  <c r="G18"/>
  <c r="D23"/>
  <c r="D20"/>
  <c r="D16"/>
  <c r="E66"/>
  <c r="H58" i="6"/>
  <c r="U51"/>
  <c r="R51"/>
  <c r="O51"/>
  <c r="L51"/>
  <c r="Y50"/>
  <c r="X50"/>
  <c r="W50"/>
  <c r="V50"/>
  <c r="U50"/>
  <c r="T50"/>
  <c r="S50"/>
  <c r="R50"/>
  <c r="Q50"/>
  <c r="P50"/>
  <c r="O50"/>
  <c r="N50"/>
  <c r="M50"/>
  <c r="L50"/>
  <c r="K50"/>
  <c r="G50"/>
  <c r="Y49"/>
  <c r="Y51" s="1"/>
  <c r="X49"/>
  <c r="X51" s="1"/>
  <c r="W49"/>
  <c r="W51" s="1"/>
  <c r="V49"/>
  <c r="V51" s="1"/>
  <c r="U49"/>
  <c r="T49"/>
  <c r="T51" s="1"/>
  <c r="S49"/>
  <c r="S51" s="1"/>
  <c r="R49"/>
  <c r="Q49"/>
  <c r="Q51" s="1"/>
  <c r="P49"/>
  <c r="P51" s="1"/>
  <c r="O49"/>
  <c r="N49"/>
  <c r="N51" s="1"/>
  <c r="M49"/>
  <c r="M51" s="1"/>
  <c r="L49"/>
  <c r="K49"/>
  <c r="K51" s="1"/>
  <c r="Y42"/>
  <c r="X42"/>
  <c r="W42"/>
  <c r="V42"/>
  <c r="U42"/>
  <c r="T42"/>
  <c r="S42"/>
  <c r="R42"/>
  <c r="Q42"/>
  <c r="P42"/>
  <c r="O42"/>
  <c r="N42"/>
  <c r="M42"/>
  <c r="L42"/>
  <c r="K42"/>
  <c r="J40"/>
  <c r="I40"/>
  <c r="G38"/>
  <c r="F38"/>
  <c r="F37" s="1"/>
  <c r="H38"/>
  <c r="G37"/>
  <c r="Y34"/>
  <c r="X34"/>
  <c r="W34"/>
  <c r="V34"/>
  <c r="U34"/>
  <c r="T34"/>
  <c r="S34"/>
  <c r="R34"/>
  <c r="Q34"/>
  <c r="P34"/>
  <c r="O34"/>
  <c r="N34"/>
  <c r="M34"/>
  <c r="L34"/>
  <c r="K34"/>
  <c r="J34"/>
  <c r="I34"/>
  <c r="G33"/>
  <c r="F33"/>
  <c r="G32"/>
  <c r="F32"/>
  <c r="J30"/>
  <c r="J49" s="1"/>
  <c r="I49"/>
  <c r="H30"/>
  <c r="H35" s="1"/>
  <c r="F30"/>
  <c r="G29"/>
  <c r="F29"/>
  <c r="G28"/>
  <c r="F28"/>
  <c r="G27"/>
  <c r="F27"/>
  <c r="G26"/>
  <c r="F26"/>
  <c r="Y25"/>
  <c r="X25"/>
  <c r="W25"/>
  <c r="V25"/>
  <c r="U25"/>
  <c r="T25"/>
  <c r="S25"/>
  <c r="R25"/>
  <c r="Q25"/>
  <c r="P25"/>
  <c r="O25"/>
  <c r="N25"/>
  <c r="M25"/>
  <c r="L25"/>
  <c r="K25"/>
  <c r="J25"/>
  <c r="H25"/>
  <c r="G25"/>
  <c r="G24" s="1"/>
  <c r="F25"/>
  <c r="H23"/>
  <c r="F24"/>
  <c r="F35" s="1"/>
  <c r="K19"/>
  <c r="L19" s="1"/>
  <c r="M19" s="1"/>
  <c r="N19" s="1"/>
  <c r="O19" s="1"/>
  <c r="P19" s="1"/>
  <c r="Q19" s="1"/>
  <c r="R19" s="1"/>
  <c r="S19" s="1"/>
  <c r="T19" s="1"/>
  <c r="U19" s="1"/>
  <c r="V19" s="1"/>
  <c r="W19" s="1"/>
  <c r="X19" s="1"/>
  <c r="Y19" s="1"/>
  <c r="J19"/>
  <c r="Y18"/>
  <c r="X18"/>
  <c r="W18"/>
  <c r="V18"/>
  <c r="U18"/>
  <c r="T18"/>
  <c r="S18"/>
  <c r="R18"/>
  <c r="Q18"/>
  <c r="P18"/>
  <c r="O18"/>
  <c r="N18"/>
  <c r="M18"/>
  <c r="L18"/>
  <c r="K18"/>
  <c r="Y17"/>
  <c r="X17"/>
  <c r="W17"/>
  <c r="V17"/>
  <c r="U17"/>
  <c r="T17"/>
  <c r="S17"/>
  <c r="R17"/>
  <c r="Q17"/>
  <c r="P17"/>
  <c r="O17"/>
  <c r="N17"/>
  <c r="M17"/>
  <c r="L17"/>
  <c r="K17"/>
  <c r="J17"/>
  <c r="I17"/>
  <c r="J16"/>
  <c r="J50" s="1"/>
  <c r="I16"/>
  <c r="I50" s="1"/>
  <c r="H50"/>
  <c r="F16"/>
  <c r="F50" s="1"/>
  <c r="Y20"/>
  <c r="X20"/>
  <c r="K20"/>
  <c r="J20"/>
  <c r="I20"/>
  <c r="G15"/>
  <c r="G19" s="1"/>
  <c r="F13"/>
  <c r="Y11"/>
  <c r="X11"/>
  <c r="W11"/>
  <c r="V11"/>
  <c r="U11"/>
  <c r="T11"/>
  <c r="S11"/>
  <c r="R11"/>
  <c r="Q11"/>
  <c r="P11"/>
  <c r="O11"/>
  <c r="N11"/>
  <c r="M11"/>
  <c r="L11"/>
  <c r="K11"/>
  <c r="I11"/>
  <c r="Y10"/>
  <c r="V10"/>
  <c r="S10"/>
  <c r="P10"/>
  <c r="M10"/>
  <c r="J10"/>
  <c r="G10"/>
  <c r="W10" s="1"/>
  <c r="Y9"/>
  <c r="X9"/>
  <c r="W9"/>
  <c r="V9"/>
  <c r="U9"/>
  <c r="T9"/>
  <c r="S9"/>
  <c r="R9"/>
  <c r="Q9"/>
  <c r="P9"/>
  <c r="O9"/>
  <c r="N9"/>
  <c r="M9"/>
  <c r="L9"/>
  <c r="K9"/>
  <c r="J9"/>
  <c r="I9"/>
  <c r="G9"/>
  <c r="G8"/>
  <c r="G49" s="1"/>
  <c r="G51" s="1"/>
  <c r="F8"/>
  <c r="F49" s="1"/>
  <c r="F51" s="1"/>
  <c r="H45"/>
  <c r="G7"/>
  <c r="G45" s="1"/>
  <c r="X6"/>
  <c r="K6"/>
  <c r="I6"/>
  <c r="H6"/>
  <c r="F6"/>
  <c r="Y2"/>
  <c r="X2"/>
  <c r="W2"/>
  <c r="V2"/>
  <c r="U2"/>
  <c r="T2"/>
  <c r="S2"/>
  <c r="R2"/>
  <c r="Q2"/>
  <c r="P2"/>
  <c r="O2"/>
  <c r="N2"/>
  <c r="M2"/>
  <c r="L2"/>
  <c r="K2"/>
  <c r="J2"/>
  <c r="I2"/>
  <c r="H2"/>
  <c r="G2"/>
  <c r="H46" l="1"/>
  <c r="D19" i="2"/>
  <c r="D21"/>
  <c r="J51" i="6"/>
  <c r="W38"/>
  <c r="T38"/>
  <c r="Q38"/>
  <c r="N38"/>
  <c r="K38"/>
  <c r="K43" s="1"/>
  <c r="X38"/>
  <c r="U38"/>
  <c r="R38"/>
  <c r="O38"/>
  <c r="L38"/>
  <c r="L43" s="1"/>
  <c r="I38"/>
  <c r="I43" s="1"/>
  <c r="Y38"/>
  <c r="V38"/>
  <c r="S38"/>
  <c r="P38"/>
  <c r="M38"/>
  <c r="J38"/>
  <c r="J43" s="1"/>
  <c r="I51"/>
  <c r="G56"/>
  <c r="G23"/>
  <c r="G35"/>
  <c r="W35"/>
  <c r="T35"/>
  <c r="Q35"/>
  <c r="N35"/>
  <c r="K35"/>
  <c r="X35"/>
  <c r="U35"/>
  <c r="R35"/>
  <c r="O35"/>
  <c r="L35"/>
  <c r="I35"/>
  <c r="Y35"/>
  <c r="V35"/>
  <c r="S35"/>
  <c r="P35"/>
  <c r="M35"/>
  <c r="J35"/>
  <c r="AA7"/>
  <c r="AB7" s="1"/>
  <c r="Z7" s="1"/>
  <c r="G6"/>
  <c r="G46" s="1"/>
  <c r="J6"/>
  <c r="Y6"/>
  <c r="I10"/>
  <c r="L10"/>
  <c r="O10"/>
  <c r="R10"/>
  <c r="U10"/>
  <c r="X10"/>
  <c r="H13"/>
  <c r="F19"/>
  <c r="F23"/>
  <c r="F46" s="1"/>
  <c r="F45"/>
  <c r="H49"/>
  <c r="K10"/>
  <c r="N10"/>
  <c r="Q10"/>
  <c r="T10"/>
  <c r="G13"/>
  <c r="Y14" s="1"/>
  <c r="AA15"/>
  <c r="AB15" s="1"/>
  <c r="Z15" s="1"/>
  <c r="F20" i="2"/>
  <c r="X14" i="6" l="1"/>
  <c r="I13"/>
  <c r="I14" s="1"/>
  <c r="K14"/>
  <c r="AC6"/>
  <c r="J14"/>
  <c r="H51"/>
  <c r="H61"/>
  <c r="F49" i="2"/>
  <c r="F23"/>
  <c r="F19" s="1"/>
  <c r="F17"/>
  <c r="F16"/>
  <c r="F66" s="1"/>
  <c r="F46" l="1"/>
  <c r="F45" l="1"/>
  <c r="E22" l="1"/>
  <c r="E21"/>
  <c r="F34"/>
  <c r="F15"/>
  <c r="P3" i="5" l="1"/>
  <c r="Y37" i="6" l="1"/>
  <c r="Y43" s="1"/>
  <c r="X37"/>
  <c r="X43" s="1"/>
  <c r="V23" i="2"/>
  <c r="W37" i="6" s="1"/>
  <c r="W43" s="1"/>
  <c r="U23" i="2"/>
  <c r="V37" i="6" s="1"/>
  <c r="V43" s="1"/>
  <c r="T23" i="2"/>
  <c r="U37" i="6" s="1"/>
  <c r="U43" s="1"/>
  <c r="S23" i="2"/>
  <c r="T37" i="6" s="1"/>
  <c r="T43" s="1"/>
  <c r="R23" i="2"/>
  <c r="S37" i="6" s="1"/>
  <c r="S43" s="1"/>
  <c r="Q23" i="2"/>
  <c r="R37" i="6" s="1"/>
  <c r="R43" s="1"/>
  <c r="P23" i="2"/>
  <c r="Q37" i="6" s="1"/>
  <c r="Q43" s="1"/>
  <c r="O23" i="2"/>
  <c r="P37" i="6" s="1"/>
  <c r="P43" s="1"/>
  <c r="N23" i="2"/>
  <c r="O37" i="6" s="1"/>
  <c r="O43" s="1"/>
  <c r="M23" i="2"/>
  <c r="N37" i="6" s="1"/>
  <c r="N43" s="1"/>
  <c r="L23" i="2"/>
  <c r="M37" i="6" s="1"/>
  <c r="M43" s="1"/>
  <c r="Y17" i="5" l="1"/>
  <c r="P45" i="2"/>
  <c r="O45"/>
  <c r="N45"/>
  <c r="M45"/>
  <c r="L45"/>
  <c r="K45"/>
  <c r="J45"/>
  <c r="I45"/>
  <c r="H45"/>
  <c r="G45"/>
  <c r="B58" i="5"/>
  <c r="Y16"/>
  <c r="E58" i="2" s="1"/>
  <c r="C58" i="5"/>
  <c r="E48" i="2" l="1"/>
  <c r="D48"/>
  <c r="F52"/>
  <c r="F74"/>
  <c r="E74" l="1"/>
  <c r="S17" l="1"/>
  <c r="T15" i="6" s="1"/>
  <c r="T20" s="1"/>
  <c r="O17" i="2"/>
  <c r="P15" i="6" s="1"/>
  <c r="P20" s="1"/>
  <c r="V21" i="2" l="1"/>
  <c r="U21"/>
  <c r="T21"/>
  <c r="S21"/>
  <c r="F22"/>
  <c r="F21" s="1"/>
  <c r="V17"/>
  <c r="W15" i="6" s="1"/>
  <c r="W20" s="1"/>
  <c r="U17" i="2"/>
  <c r="V15" i="6" s="1"/>
  <c r="V20" s="1"/>
  <c r="T17" i="2"/>
  <c r="U15" i="6" s="1"/>
  <c r="U20" s="1"/>
  <c r="R17" i="2"/>
  <c r="S15" i="6" s="1"/>
  <c r="S20" s="1"/>
  <c r="Q17" i="2"/>
  <c r="R15" i="6" s="1"/>
  <c r="R20" s="1"/>
  <c r="P17" i="2"/>
  <c r="Q15" i="6" s="1"/>
  <c r="Q20" s="1"/>
  <c r="N17" i="2"/>
  <c r="O15" i="6" s="1"/>
  <c r="O20" s="1"/>
  <c r="M17" i="2"/>
  <c r="N15" i="6" s="1"/>
  <c r="N20" s="1"/>
  <c r="L17" i="2"/>
  <c r="M15" i="6" s="1"/>
  <c r="M20" s="1"/>
  <c r="K17" i="2"/>
  <c r="L15" i="6" s="1"/>
  <c r="L20" s="1"/>
  <c r="G52" i="2" l="1"/>
  <c r="H52"/>
  <c r="I52"/>
  <c r="J52"/>
  <c r="K52"/>
  <c r="L52"/>
  <c r="M52"/>
  <c r="N52"/>
  <c r="O52"/>
  <c r="P52"/>
  <c r="Q52"/>
  <c r="R52"/>
  <c r="S52"/>
  <c r="T52"/>
  <c r="U52"/>
  <c r="V52"/>
  <c r="V16"/>
  <c r="W7" i="6" s="1"/>
  <c r="U16" i="2"/>
  <c r="V7" i="6" s="1"/>
  <c r="S16" i="2"/>
  <c r="T7" i="6" s="1"/>
  <c r="T16" i="2"/>
  <c r="U7" i="6" s="1"/>
  <c r="R16" i="2"/>
  <c r="S7" i="6" s="1"/>
  <c r="Q16" i="2"/>
  <c r="R7" i="6" s="1"/>
  <c r="P16" i="2"/>
  <c r="Q7" i="6" s="1"/>
  <c r="O16" i="2"/>
  <c r="P7" i="6" s="1"/>
  <c r="N16" i="2"/>
  <c r="O7" i="6" s="1"/>
  <c r="M16" i="2"/>
  <c r="N7" i="6" s="1"/>
  <c r="L16" i="2"/>
  <c r="M7" i="6" s="1"/>
  <c r="K16" i="2"/>
  <c r="L7" i="6" s="1"/>
  <c r="Z31" i="5"/>
  <c r="N6" i="6" l="1"/>
  <c r="N14"/>
  <c r="Q6"/>
  <c r="Q14"/>
  <c r="U6"/>
  <c r="U14"/>
  <c r="W6"/>
  <c r="W14"/>
  <c r="P6"/>
  <c r="P14"/>
  <c r="S6"/>
  <c r="S14"/>
  <c r="V6"/>
  <c r="V14"/>
  <c r="L6"/>
  <c r="L14"/>
  <c r="O6"/>
  <c r="O14"/>
  <c r="R6"/>
  <c r="R14"/>
  <c r="T6"/>
  <c r="T14"/>
  <c r="M6"/>
  <c r="M14"/>
  <c r="E52" i="2"/>
  <c r="U15" l="1"/>
  <c r="L15"/>
  <c r="I15"/>
  <c r="E44" l="1"/>
  <c r="O18" i="5"/>
  <c r="O19"/>
  <c r="O20"/>
  <c r="O21"/>
  <c r="O22"/>
  <c r="O23"/>
  <c r="O24"/>
  <c r="O25"/>
  <c r="O26"/>
  <c r="O27"/>
  <c r="O28"/>
  <c r="O29"/>
  <c r="O30"/>
  <c r="O17"/>
  <c r="D58" i="2"/>
  <c r="O31" i="5" l="1"/>
  <c r="P26" i="2"/>
  <c r="R26"/>
  <c r="S26"/>
  <c r="T26"/>
  <c r="U26"/>
  <c r="V26"/>
  <c r="F3" i="5"/>
  <c r="G3"/>
  <c r="I3"/>
  <c r="J3"/>
  <c r="K3"/>
  <c r="Y6"/>
  <c r="Y7"/>
  <c r="Y8"/>
  <c r="Y9"/>
  <c r="C10"/>
  <c r="F10"/>
  <c r="Y10"/>
  <c r="G11"/>
  <c r="I11"/>
  <c r="Y11"/>
  <c r="C12"/>
  <c r="E12"/>
  <c r="F12"/>
  <c r="I12"/>
  <c r="Y12"/>
  <c r="I13"/>
  <c r="Y13"/>
  <c r="I14"/>
  <c r="Y14"/>
  <c r="I15"/>
  <c r="Y15"/>
  <c r="I16"/>
  <c r="I17"/>
  <c r="F37" i="2"/>
  <c r="I18" i="5"/>
  <c r="I19"/>
  <c r="I20"/>
  <c r="I21"/>
  <c r="I22"/>
  <c r="I23"/>
  <c r="I24"/>
  <c r="I25"/>
  <c r="H26"/>
  <c r="I26"/>
  <c r="B42"/>
  <c r="C42"/>
  <c r="D42"/>
  <c r="E42"/>
  <c r="F42"/>
  <c r="G42"/>
  <c r="H42"/>
  <c r="I42"/>
  <c r="J42"/>
  <c r="K42"/>
  <c r="L42"/>
  <c r="M42"/>
  <c r="N42"/>
  <c r="B43"/>
  <c r="C43"/>
  <c r="D43"/>
  <c r="E43"/>
  <c r="F43"/>
  <c r="G43"/>
  <c r="H43"/>
  <c r="I43"/>
  <c r="J43"/>
  <c r="K43"/>
  <c r="L43"/>
  <c r="M43"/>
  <c r="N43"/>
  <c r="K46"/>
  <c r="M46"/>
  <c r="N46"/>
  <c r="B47"/>
  <c r="B48"/>
  <c r="B49"/>
  <c r="B50"/>
  <c r="B51"/>
  <c r="B52"/>
  <c r="B53"/>
  <c r="B54"/>
  <c r="B55"/>
  <c r="B56"/>
  <c r="B57"/>
  <c r="D17" i="2"/>
  <c r="D61"/>
  <c r="D55" s="1"/>
  <c r="G15"/>
  <c r="E15"/>
  <c r="E68" s="1"/>
  <c r="H15"/>
  <c r="P15"/>
  <c r="D18"/>
  <c r="D35"/>
  <c r="J15"/>
  <c r="M15"/>
  <c r="N15"/>
  <c r="O15"/>
  <c r="K15"/>
  <c r="S15"/>
  <c r="Q15"/>
  <c r="R15"/>
  <c r="T15"/>
  <c r="V15"/>
  <c r="Q26"/>
  <c r="O26"/>
  <c r="N26"/>
  <c r="M26"/>
  <c r="V44"/>
  <c r="U44"/>
  <c r="D26"/>
  <c r="D36"/>
  <c r="E26"/>
  <c r="E36"/>
  <c r="T44"/>
  <c r="S44"/>
  <c r="R44"/>
  <c r="Q44"/>
  <c r="P44"/>
  <c r="O44"/>
  <c r="N44"/>
  <c r="M44"/>
  <c r="L44"/>
  <c r="K44"/>
  <c r="J44"/>
  <c r="I44"/>
  <c r="H44"/>
  <c r="G44"/>
  <c r="F44"/>
  <c r="D52"/>
  <c r="D47" s="1"/>
  <c r="E55"/>
  <c r="E47"/>
  <c r="E69" l="1"/>
  <c r="D15"/>
  <c r="D68" s="1"/>
  <c r="D66"/>
  <c r="E62"/>
  <c r="E54"/>
  <c r="F64"/>
  <c r="F68"/>
  <c r="D25"/>
  <c r="E25"/>
  <c r="F48"/>
  <c r="F47" s="1"/>
  <c r="F54" s="1"/>
  <c r="F36"/>
  <c r="E24"/>
  <c r="D24" l="1"/>
  <c r="F63"/>
  <c r="F71" s="1"/>
  <c r="D62"/>
  <c r="D54"/>
  <c r="D69"/>
  <c r="G63"/>
  <c r="F69"/>
  <c r="F24"/>
  <c r="AA31" i="5" l="1"/>
  <c r="P19" s="1"/>
  <c r="F27" i="2"/>
  <c r="F26" s="1"/>
  <c r="F25" s="1"/>
  <c r="F76" s="1"/>
  <c r="B59" i="5"/>
  <c r="P23" l="1"/>
  <c r="P29"/>
  <c r="P26"/>
  <c r="P27"/>
  <c r="P21"/>
  <c r="P30"/>
  <c r="P24"/>
  <c r="P18"/>
  <c r="Y18" s="1"/>
  <c r="P31"/>
  <c r="P28"/>
  <c r="P25"/>
  <c r="P22"/>
  <c r="P20"/>
  <c r="F58" i="2"/>
  <c r="P32" i="5" l="1"/>
  <c r="P42" s="1"/>
  <c r="P43" s="1"/>
  <c r="F55" i="2"/>
  <c r="F62" s="1"/>
  <c r="G37"/>
  <c r="G64" l="1"/>
  <c r="G22"/>
  <c r="G36"/>
  <c r="G48"/>
  <c r="G71" l="1"/>
  <c r="G47"/>
  <c r="G54" s="1"/>
  <c r="O42" i="5" l="1"/>
  <c r="O43"/>
  <c r="G74" i="2" l="1"/>
  <c r="G68"/>
  <c r="G66"/>
  <c r="G21"/>
  <c r="G19"/>
  <c r="G24" s="1"/>
  <c r="Q3" i="5" l="1"/>
  <c r="H63" i="2"/>
  <c r="G69"/>
  <c r="AB31" i="5" l="1"/>
  <c r="B60"/>
  <c r="G27" i="2"/>
  <c r="G26" s="1"/>
  <c r="G25" s="1"/>
  <c r="G76" s="1"/>
  <c r="Q19" i="5" l="1"/>
  <c r="Q20"/>
  <c r="Q32"/>
  <c r="Q24"/>
  <c r="Q26"/>
  <c r="Q27"/>
  <c r="Q30"/>
  <c r="Q22"/>
  <c r="Q28"/>
  <c r="Q25"/>
  <c r="Q21"/>
  <c r="Q23"/>
  <c r="Q29"/>
  <c r="Q31"/>
  <c r="G58" i="2"/>
  <c r="H49" l="1"/>
  <c r="I33" i="6" s="1"/>
  <c r="G55" i="2"/>
  <c r="G62" s="1"/>
  <c r="Y19" i="5"/>
  <c r="Q33"/>
  <c r="H22" i="2" l="1"/>
  <c r="H37"/>
  <c r="Q42" i="5"/>
  <c r="Q43" s="1"/>
  <c r="H64" i="2" l="1"/>
  <c r="H71" s="1"/>
  <c r="H48"/>
  <c r="H47" s="1"/>
  <c r="H54" s="1"/>
  <c r="H36"/>
  <c r="J26" l="1"/>
  <c r="AE31" i="5"/>
  <c r="T25" l="1"/>
  <c r="T28"/>
  <c r="T31"/>
  <c r="T34"/>
  <c r="T24"/>
  <c r="T27"/>
  <c r="T30"/>
  <c r="T33"/>
  <c r="T22"/>
  <c r="T23"/>
  <c r="T26"/>
  <c r="T29"/>
  <c r="T32"/>
  <c r="T35"/>
  <c r="T36" l="1"/>
  <c r="T42" l="1"/>
  <c r="T43" s="1"/>
  <c r="AF31" l="1"/>
  <c r="U24" l="1"/>
  <c r="U27"/>
  <c r="U30"/>
  <c r="U33"/>
  <c r="U36"/>
  <c r="U26"/>
  <c r="U29"/>
  <c r="U32"/>
  <c r="U35"/>
  <c r="U25"/>
  <c r="U28"/>
  <c r="U31"/>
  <c r="U34"/>
  <c r="U23"/>
  <c r="U37" l="1"/>
  <c r="U42" l="1"/>
  <c r="U43" s="1"/>
  <c r="L26" i="2" l="1"/>
  <c r="AG31" i="5"/>
  <c r="V25" l="1"/>
  <c r="V28"/>
  <c r="V31"/>
  <c r="V34"/>
  <c r="V37"/>
  <c r="V27"/>
  <c r="V30"/>
  <c r="V33"/>
  <c r="V36"/>
  <c r="V26"/>
  <c r="V29"/>
  <c r="V32"/>
  <c r="V35"/>
  <c r="V24"/>
  <c r="V38" l="1"/>
  <c r="V42" l="1"/>
  <c r="V43" s="1"/>
  <c r="AH31" l="1"/>
  <c r="W26" l="1"/>
  <c r="W29"/>
  <c r="W32"/>
  <c r="W35"/>
  <c r="W38"/>
  <c r="W28"/>
  <c r="W31"/>
  <c r="W34"/>
  <c r="W37"/>
  <c r="W27"/>
  <c r="W30"/>
  <c r="W33"/>
  <c r="W36"/>
  <c r="W25"/>
  <c r="W39" l="1"/>
  <c r="W42" s="1"/>
  <c r="W43" s="1"/>
  <c r="AI31" l="1"/>
  <c r="X27" l="1"/>
  <c r="X30"/>
  <c r="X33"/>
  <c r="X36"/>
  <c r="Y36" s="1"/>
  <c r="X39"/>
  <c r="Y39" s="1"/>
  <c r="X29"/>
  <c r="X32"/>
  <c r="X35"/>
  <c r="X38"/>
  <c r="Y38" s="1"/>
  <c r="X28"/>
  <c r="X31"/>
  <c r="X34"/>
  <c r="X37"/>
  <c r="Y37" s="1"/>
  <c r="X26"/>
  <c r="X40" l="1"/>
  <c r="Y40" s="1"/>
  <c r="X42" l="1"/>
  <c r="X43" s="1"/>
  <c r="K26" i="2"/>
  <c r="H20"/>
  <c r="H66" s="1"/>
  <c r="H19" l="1"/>
  <c r="H24" s="1"/>
  <c r="R3" i="5" s="1"/>
  <c r="H27" i="2" s="1"/>
  <c r="H68"/>
  <c r="I63" s="1"/>
  <c r="H74"/>
  <c r="I24" i="6"/>
  <c r="H26" i="2" l="1"/>
  <c r="H25" s="1"/>
  <c r="H76" s="1"/>
  <c r="I45" i="6"/>
  <c r="I36"/>
  <c r="I23"/>
  <c r="I46" s="1"/>
  <c r="H69" i="2"/>
  <c r="AC31" i="5" l="1"/>
  <c r="B61"/>
  <c r="R22" l="1"/>
  <c r="R25"/>
  <c r="R26"/>
  <c r="R33"/>
  <c r="R23"/>
  <c r="R24"/>
  <c r="R27"/>
  <c r="R30"/>
  <c r="R20"/>
  <c r="R21"/>
  <c r="R28"/>
  <c r="R29"/>
  <c r="R31"/>
  <c r="R32"/>
  <c r="H58" i="2"/>
  <c r="I49" s="1"/>
  <c r="H55" l="1"/>
  <c r="H62" s="1"/>
  <c r="Y20" i="5"/>
  <c r="R34"/>
  <c r="I37" i="2" l="1"/>
  <c r="I64" s="1"/>
  <c r="I22"/>
  <c r="I20" s="1"/>
  <c r="J33" i="6"/>
  <c r="R42" i="5"/>
  <c r="R43" s="1"/>
  <c r="I74" i="2" l="1"/>
  <c r="I68"/>
  <c r="J24" i="6"/>
  <c r="I19" i="2"/>
  <c r="I24" s="1"/>
  <c r="I66"/>
  <c r="I71"/>
  <c r="I36"/>
  <c r="I48"/>
  <c r="I47" s="1"/>
  <c r="I54" s="1"/>
  <c r="J36" i="6"/>
  <c r="S3" i="5" l="1"/>
  <c r="I27" i="2" s="1"/>
  <c r="I69"/>
  <c r="J63"/>
  <c r="J45" i="6"/>
  <c r="J23"/>
  <c r="J46" s="1"/>
  <c r="I26" i="2" l="1"/>
  <c r="I25" s="1"/>
  <c r="I76" s="1"/>
  <c r="AD31" i="5"/>
  <c r="B62"/>
  <c r="S28" l="1"/>
  <c r="Y28" s="1"/>
  <c r="Q37" i="2" s="1"/>
  <c r="S24" i="5"/>
  <c r="Y24" s="1"/>
  <c r="M37" i="2" s="1"/>
  <c r="S23" i="5"/>
  <c r="Y23" s="1"/>
  <c r="L37" i="2" s="1"/>
  <c r="S31" i="5"/>
  <c r="Y31" s="1"/>
  <c r="T37" i="2" s="1"/>
  <c r="S29" i="5"/>
  <c r="Y29" s="1"/>
  <c r="R37" i="2" s="1"/>
  <c r="S32" i="5"/>
  <c r="Y32" s="1"/>
  <c r="U37" i="2" s="1"/>
  <c r="S25" i="5"/>
  <c r="Y25" s="1"/>
  <c r="N37" i="2" s="1"/>
  <c r="S27" i="5"/>
  <c r="Y27" s="1"/>
  <c r="P37" i="2" s="1"/>
  <c r="S26" i="5"/>
  <c r="Y26" s="1"/>
  <c r="O37" i="2" s="1"/>
  <c r="S34" i="5"/>
  <c r="Y34" s="1"/>
  <c r="S30"/>
  <c r="Y30" s="1"/>
  <c r="S37" i="2" s="1"/>
  <c r="S33" i="5"/>
  <c r="Y33" s="1"/>
  <c r="V37" i="2" s="1"/>
  <c r="S22" i="5"/>
  <c r="Y22" s="1"/>
  <c r="K37" i="2" s="1"/>
  <c r="S21" i="5"/>
  <c r="I58" i="2"/>
  <c r="J49" s="1"/>
  <c r="Y21" i="5" l="1"/>
  <c r="S35"/>
  <c r="Y35" s="1"/>
  <c r="I55" i="2"/>
  <c r="I62" s="1"/>
  <c r="K36"/>
  <c r="K25" s="1"/>
  <c r="K48"/>
  <c r="N48"/>
  <c r="N36"/>
  <c r="N25" s="1"/>
  <c r="T36"/>
  <c r="T25" s="1"/>
  <c r="T48"/>
  <c r="Q36"/>
  <c r="Q25" s="1"/>
  <c r="Q48"/>
  <c r="S36"/>
  <c r="S25" s="1"/>
  <c r="S48"/>
  <c r="P36"/>
  <c r="P25" s="1"/>
  <c r="P48"/>
  <c r="R36"/>
  <c r="R25" s="1"/>
  <c r="R48"/>
  <c r="M48"/>
  <c r="M36"/>
  <c r="M25" s="1"/>
  <c r="V48"/>
  <c r="V36"/>
  <c r="V25" s="1"/>
  <c r="O36"/>
  <c r="O25" s="1"/>
  <c r="O48"/>
  <c r="U36"/>
  <c r="U25" s="1"/>
  <c r="U48"/>
  <c r="L36"/>
  <c r="L25" s="1"/>
  <c r="L48"/>
  <c r="S42" i="5" l="1"/>
  <c r="S43" s="1"/>
  <c r="J22" i="2"/>
  <c r="J20" s="1"/>
  <c r="K33" i="6"/>
  <c r="J37" i="2"/>
  <c r="Y43" i="5"/>
  <c r="B63"/>
  <c r="J48" i="2" l="1"/>
  <c r="J47" s="1"/>
  <c r="J54" s="1"/>
  <c r="J64"/>
  <c r="J71" s="1"/>
  <c r="J36"/>
  <c r="J25" s="1"/>
  <c r="J74"/>
  <c r="J68"/>
  <c r="K24" i="6"/>
  <c r="J19" i="2"/>
  <c r="J24" s="1"/>
  <c r="J66"/>
  <c r="J58"/>
  <c r="K49" s="1"/>
  <c r="B64" i="5"/>
  <c r="K36" i="6"/>
  <c r="J76" i="2" l="1"/>
  <c r="J69"/>
  <c r="K63"/>
  <c r="K58"/>
  <c r="L49" s="1"/>
  <c r="B65" i="5"/>
  <c r="J55" i="2"/>
  <c r="J62" s="1"/>
  <c r="K23" i="6"/>
  <c r="K46" s="1"/>
  <c r="K45"/>
  <c r="L33" l="1"/>
  <c r="K22" i="2"/>
  <c r="K20" s="1"/>
  <c r="K64"/>
  <c r="K71" s="1"/>
  <c r="K47"/>
  <c r="K54" s="1"/>
  <c r="K55"/>
  <c r="K62" s="1"/>
  <c r="B66" i="5"/>
  <c r="L58" i="2"/>
  <c r="M49" s="1"/>
  <c r="L22" l="1"/>
  <c r="L20" s="1"/>
  <c r="M33" i="6"/>
  <c r="L64" i="2"/>
  <c r="L47"/>
  <c r="L54" s="1"/>
  <c r="M58"/>
  <c r="N49" s="1"/>
  <c r="B67" i="5"/>
  <c r="K19" i="2"/>
  <c r="K24" s="1"/>
  <c r="K76" s="1"/>
  <c r="K66"/>
  <c r="K74"/>
  <c r="K68"/>
  <c r="L24" i="6"/>
  <c r="L55" i="2"/>
  <c r="L62" s="1"/>
  <c r="K69" l="1"/>
  <c r="L63"/>
  <c r="L71" s="1"/>
  <c r="M55"/>
  <c r="M62" s="1"/>
  <c r="L45" i="6"/>
  <c r="L23"/>
  <c r="L46" s="1"/>
  <c r="L68" i="2"/>
  <c r="L74"/>
  <c r="M24" i="6"/>
  <c r="M36" s="1"/>
  <c r="L19" i="2"/>
  <c r="L24" s="1"/>
  <c r="L76" s="1"/>
  <c r="L66"/>
  <c r="L36" i="6"/>
  <c r="N33"/>
  <c r="M22" i="2"/>
  <c r="M20" s="1"/>
  <c r="M64"/>
  <c r="M47"/>
  <c r="M54" s="1"/>
  <c r="N58"/>
  <c r="O49" s="1"/>
  <c r="B68" i="5"/>
  <c r="N55" i="2" l="1"/>
  <c r="N62" s="1"/>
  <c r="L69"/>
  <c r="M63"/>
  <c r="M71" s="1"/>
  <c r="M74"/>
  <c r="M68"/>
  <c r="N63" s="1"/>
  <c r="N24" i="6"/>
  <c r="M19" i="2"/>
  <c r="M24" s="1"/>
  <c r="M76" s="1"/>
  <c r="M66"/>
  <c r="M23" i="6"/>
  <c r="M46" s="1"/>
  <c r="M45"/>
  <c r="O33"/>
  <c r="N22" i="2"/>
  <c r="N20" s="1"/>
  <c r="N64"/>
  <c r="N47"/>
  <c r="N54" s="1"/>
  <c r="O58"/>
  <c r="P49" s="1"/>
  <c r="B69" i="5"/>
  <c r="N71" i="2" l="1"/>
  <c r="O55"/>
  <c r="O62" s="1"/>
  <c r="N66"/>
  <c r="N68"/>
  <c r="O63" s="1"/>
  <c r="N19"/>
  <c r="N24" s="1"/>
  <c r="N76" s="1"/>
  <c r="N74"/>
  <c r="O24" i="6"/>
  <c r="O36" s="1"/>
  <c r="N23"/>
  <c r="N46" s="1"/>
  <c r="N45"/>
  <c r="P33"/>
  <c r="O22" i="2"/>
  <c r="O20" s="1"/>
  <c r="O64"/>
  <c r="O47"/>
  <c r="O54" s="1"/>
  <c r="B70" i="5"/>
  <c r="P58" i="2"/>
  <c r="Q49" s="1"/>
  <c r="M69"/>
  <c r="N36" i="6"/>
  <c r="O45" l="1"/>
  <c r="O23"/>
  <c r="O46" s="1"/>
  <c r="N69" i="2"/>
  <c r="O74"/>
  <c r="P24" i="6"/>
  <c r="P36" s="1"/>
  <c r="O68" i="2"/>
  <c r="O19"/>
  <c r="O24" s="1"/>
  <c r="O76" s="1"/>
  <c r="O66"/>
  <c r="P22"/>
  <c r="P20" s="1"/>
  <c r="Q33" i="6"/>
  <c r="P64" i="2"/>
  <c r="P47"/>
  <c r="P54" s="1"/>
  <c r="Q58"/>
  <c r="R49" s="1"/>
  <c r="B71" i="5"/>
  <c r="P55" i="2"/>
  <c r="P62" s="1"/>
  <c r="O71"/>
  <c r="Q22" l="1"/>
  <c r="Q20" s="1"/>
  <c r="R33" i="6"/>
  <c r="Q64" i="2"/>
  <c r="Q47"/>
  <c r="Q54" s="1"/>
  <c r="Q55"/>
  <c r="Q62" s="1"/>
  <c r="R58"/>
  <c r="S49" s="1"/>
  <c r="B72" i="5"/>
  <c r="P45" i="6"/>
  <c r="P23"/>
  <c r="P46" s="1"/>
  <c r="O69" i="2"/>
  <c r="P63"/>
  <c r="P71" s="1"/>
  <c r="P74"/>
  <c r="P68"/>
  <c r="Q63" s="1"/>
  <c r="Q24" i="6"/>
  <c r="Q36" s="1"/>
  <c r="P66" i="2"/>
  <c r="P19"/>
  <c r="P24" s="1"/>
  <c r="P76" s="1"/>
  <c r="S58" l="1"/>
  <c r="T49" s="1"/>
  <c r="B73" i="5"/>
  <c r="P69" i="2"/>
  <c r="R55"/>
  <c r="R62" s="1"/>
  <c r="Q66"/>
  <c r="R24" i="6"/>
  <c r="Q19" i="2"/>
  <c r="Q24" s="1"/>
  <c r="Q76" s="1"/>
  <c r="Q68"/>
  <c r="R63" s="1"/>
  <c r="Q74"/>
  <c r="Q45" i="6"/>
  <c r="Q23"/>
  <c r="Q46" s="1"/>
  <c r="R22" i="2"/>
  <c r="R20" s="1"/>
  <c r="S33" i="6"/>
  <c r="R64" i="2"/>
  <c r="R47"/>
  <c r="R54" s="1"/>
  <c r="Q71"/>
  <c r="R71" l="1"/>
  <c r="R74"/>
  <c r="R68"/>
  <c r="S63" s="1"/>
  <c r="R66"/>
  <c r="R19"/>
  <c r="R24" s="1"/>
  <c r="R76" s="1"/>
  <c r="S24" i="6"/>
  <c r="S36" s="1"/>
  <c r="Q69" i="2"/>
  <c r="S55"/>
  <c r="S62" s="1"/>
  <c r="R45" i="6"/>
  <c r="R23"/>
  <c r="R46" s="1"/>
  <c r="T58" i="2"/>
  <c r="U49" s="1"/>
  <c r="J73" i="5"/>
  <c r="B74"/>
  <c r="S22" i="2"/>
  <c r="S20" s="1"/>
  <c r="T33" i="6"/>
  <c r="S64" i="2"/>
  <c r="S47"/>
  <c r="S54" s="1"/>
  <c r="R36" i="6"/>
  <c r="S68" i="2" l="1"/>
  <c r="T63" s="1"/>
  <c r="T24" i="6"/>
  <c r="T36" s="1"/>
  <c r="S74" i="2"/>
  <c r="S19"/>
  <c r="S24" s="1"/>
  <c r="S76" s="1"/>
  <c r="S66"/>
  <c r="T55"/>
  <c r="T62" s="1"/>
  <c r="S71"/>
  <c r="U33" i="6"/>
  <c r="T22" i="2"/>
  <c r="T20" s="1"/>
  <c r="T64"/>
  <c r="T47"/>
  <c r="T54" s="1"/>
  <c r="S45" i="6"/>
  <c r="S23"/>
  <c r="S46" s="1"/>
  <c r="R69" i="2"/>
  <c r="B75" i="5"/>
  <c r="U58" i="2"/>
  <c r="V49" s="1"/>
  <c r="U55" l="1"/>
  <c r="U62" s="1"/>
  <c r="T68"/>
  <c r="T66"/>
  <c r="T19"/>
  <c r="T24" s="1"/>
  <c r="T76" s="1"/>
  <c r="T74"/>
  <c r="U24" i="6"/>
  <c r="U36" s="1"/>
  <c r="V33"/>
  <c r="U22" i="2"/>
  <c r="U20" s="1"/>
  <c r="U64"/>
  <c r="U47"/>
  <c r="U54" s="1"/>
  <c r="S69"/>
  <c r="T45" i="6"/>
  <c r="T23"/>
  <c r="T46" s="1"/>
  <c r="T71" i="2"/>
  <c r="V58"/>
  <c r="B76" i="5"/>
  <c r="V55" i="2" l="1"/>
  <c r="V62" s="1"/>
  <c r="U45" i="6"/>
  <c r="U23"/>
  <c r="U46" s="1"/>
  <c r="W33"/>
  <c r="V22" i="2"/>
  <c r="V20" s="1"/>
  <c r="V64"/>
  <c r="V47"/>
  <c r="V54" s="1"/>
  <c r="B77" i="5"/>
  <c r="B78" s="1"/>
  <c r="B79" s="1"/>
  <c r="B80" s="1"/>
  <c r="B81" s="1"/>
  <c r="B82" s="1"/>
  <c r="B83" s="1"/>
  <c r="B84" s="1"/>
  <c r="U74" i="2"/>
  <c r="U68"/>
  <c r="U19"/>
  <c r="U24" s="1"/>
  <c r="U76" s="1"/>
  <c r="V24" i="6"/>
  <c r="U66" i="2"/>
  <c r="T69"/>
  <c r="U63"/>
  <c r="U71" s="1"/>
  <c r="V23" i="6" l="1"/>
  <c r="V46" s="1"/>
  <c r="V45"/>
  <c r="U69" i="2"/>
  <c r="V63"/>
  <c r="V71" s="1"/>
  <c r="W24" i="6"/>
  <c r="W36" s="1"/>
  <c r="V66" i="2"/>
  <c r="V74"/>
  <c r="V19"/>
  <c r="V24" s="1"/>
  <c r="V76" s="1"/>
  <c r="V68"/>
  <c r="X33" i="6"/>
  <c r="V36"/>
  <c r="X24" l="1"/>
  <c r="V69" i="2"/>
  <c r="Y33" i="6"/>
  <c r="X36"/>
  <c r="W45"/>
  <c r="W23"/>
  <c r="W46" s="1"/>
  <c r="Y24" l="1"/>
  <c r="X23"/>
  <c r="X46" s="1"/>
  <c r="X45"/>
  <c r="Y45" l="1"/>
  <c r="Y23"/>
  <c r="Y46" s="1"/>
  <c r="Y36"/>
</calcChain>
</file>

<file path=xl/sharedStrings.xml><?xml version="1.0" encoding="utf-8"?>
<sst xmlns="http://schemas.openxmlformats.org/spreadsheetml/2006/main" count="260" uniqueCount="201">
  <si>
    <t>A. Dochody ogółem, z tego:</t>
  </si>
  <si>
    <t>A.1. Dochody bieżące</t>
  </si>
  <si>
    <t>A.2. Dochody majątkowe, w tym:</t>
  </si>
  <si>
    <t>A.2.1. Dochody ze sprzedaży majątku</t>
  </si>
  <si>
    <t>B. Wydatki ogółem, z tego:</t>
  </si>
  <si>
    <t>B.1. Wydatki bieżące</t>
  </si>
  <si>
    <t>B.2. Wydatki majątkowe</t>
  </si>
  <si>
    <t>C. Wynik budżetu (A-B)</t>
  </si>
  <si>
    <t>D. Finansowanie (D.1. - D.2.)</t>
  </si>
  <si>
    <t>D.1. Przychody ogółem, z tego:</t>
  </si>
  <si>
    <t>D.1.1. Kredyty i pożyczki, w tym:</t>
  </si>
  <si>
    <t>D.1.1.1. Kredyty i pożyczki zaciągane na zadania finansowane z udziałem środków UE i EFTA*</t>
  </si>
  <si>
    <t>D.1.2. Emitowane papiery wartościowe, w tym:</t>
  </si>
  <si>
    <t>D.1.2.1. Papiery wartościowe emitowane na zadania finansowane z udziałem środków UE i EFTA*</t>
  </si>
  <si>
    <t>D.1.3. Zwrot pożyczek udzielonych</t>
  </si>
  <si>
    <t>D.1.4. Przychody z prywatyzacji</t>
  </si>
  <si>
    <t>D.1.5. Nadwyżka z lat ubiegłych</t>
  </si>
  <si>
    <t>D.1.6. Wolne środki**</t>
  </si>
  <si>
    <t>D.1.7. Inne źródła</t>
  </si>
  <si>
    <t>D.2. Rozchody ogółem, z tego:</t>
  </si>
  <si>
    <t>D.2.1. Spłaty kredytów i pożyczek, w tym:</t>
  </si>
  <si>
    <t>D.2.1.1. Spłaty kredytów i pożyczek zaciąganych na zadania finansowane z udziałem środków UE i EFTA*</t>
  </si>
  <si>
    <t>D.2.2. Wykup papierów wartościowych, w tym:</t>
  </si>
  <si>
    <t>D.2.2.1. Wykup papierów wartościowych  wyemitowanych na zadania finansowane z udziałem środków UE i EFTA*</t>
  </si>
  <si>
    <t>D.2.3. Udzielone pożyczki</t>
  </si>
  <si>
    <t>D.2.4. Inne rozchody (np. przelewy na rachunki lokat)</t>
  </si>
  <si>
    <t>E. Umorzenia pożyczek</t>
  </si>
  <si>
    <t>F. Udzielone poręczenia, w tym:</t>
  </si>
  <si>
    <t>F.1. Potencjalne spłaty kwot wynikających z udzielonych poręczeń oraz gwarancji przypadające w danym roku budżetowym, w tym:</t>
  </si>
  <si>
    <t>F.1.1. Potencjalne spłaty kwot wynikających z poręczeń i gwarancji udzielonych samorządowym osobom prawnym realizującym zadania j.s.t. finansowane z udziałem środków UE i EFTA*</t>
  </si>
  <si>
    <t>G. Obciążenia związane z posiadanymi zobowiązaniami (bez poz D.2.1.1, D.2.2.1, F.1.1.), z tego:</t>
  </si>
  <si>
    <t>G.1. Spłaty rat kredytów i pożyczek (D.2.1. - D.2.1.1.)</t>
  </si>
  <si>
    <t>G.2. Spłaty odsetek od kredytów i pożyczek</t>
  </si>
  <si>
    <t>G.3. Wykup papierów wartościowych (D.2.2. - D.2.2.1.)</t>
  </si>
  <si>
    <t>G.4. Odsetki i dyskonto od papierów wartościowych</t>
  </si>
  <si>
    <t>G.5. Potencjalne spłaty kwot wynikających z udzielonych poręczeń oraz gwarancji przypadające w danym roku budżetowym (F.1. - F.1.1.)</t>
  </si>
  <si>
    <t>G.6. Kwoty zobowiązań związku współtworzonego przez j.s.t. przypadające do spłaty w danym roku budżetowym</t>
  </si>
  <si>
    <t>I. Łączna kwota długu na koniec roku budżetowego, z tego:</t>
  </si>
  <si>
    <t>I.1. Papiery wartościowe, w tym:</t>
  </si>
  <si>
    <t>I.1.1. Papiery wartościowe wyemitowane na zadania finansowane z udziałem środków UE i EFTA*</t>
  </si>
  <si>
    <t>I.2. Kredyty i pożyczki, w tym:</t>
  </si>
  <si>
    <t>I.2.1. Kredyty i pożyczki zaciągnięte na zadania finansowane z udziałem środków UE i EFTA*</t>
  </si>
  <si>
    <t>I.3. Przyjęte depozyty</t>
  </si>
  <si>
    <t>I.4. Wymagalne zobowiązania</t>
  </si>
  <si>
    <t>K. Średnia arytmetyczna z ostatnich trzech lat, o której mowa w art. 243 ustawy z 27 sierpnia 2009r.</t>
  </si>
  <si>
    <t>X</t>
  </si>
  <si>
    <t>L. Czy spełniony jest warunek, o którym mowa w art. 243 ustawy z 27 sierpnia 2009r. dla danego roku</t>
  </si>
  <si>
    <t>Wyszczególnienie</t>
  </si>
  <si>
    <t>Prognoza na 2013</t>
  </si>
  <si>
    <t>Prognoza na 2014</t>
  </si>
  <si>
    <t>Załacznik nr 2</t>
  </si>
  <si>
    <t>Wykonanie na 31.12.2009</t>
  </si>
  <si>
    <t>J. Wskaźnik długu (I. - I.1.1. - I.2.1.) : A w %</t>
  </si>
  <si>
    <t>H. Wskaźnik obsługi długu (G : A) w %</t>
  </si>
  <si>
    <t>Prognoza na 2015</t>
  </si>
  <si>
    <t>Prognoza na 2016</t>
  </si>
  <si>
    <t>Prognoza na 2017</t>
  </si>
  <si>
    <t>Prognoza na 2018</t>
  </si>
  <si>
    <t>Prognoza na 2019</t>
  </si>
  <si>
    <t>Prognoza na 2020</t>
  </si>
  <si>
    <t>Prognoza na 2021</t>
  </si>
  <si>
    <t>Prognoza na 2022</t>
  </si>
  <si>
    <t>Prognoza na 2023</t>
  </si>
  <si>
    <t>Prognoza na 2024</t>
  </si>
  <si>
    <t>Prognoza na 2025</t>
  </si>
  <si>
    <t>Prognoza na 2026</t>
  </si>
  <si>
    <t>Db+Sm-Wb/D</t>
  </si>
  <si>
    <t>Prognoza na 2027</t>
  </si>
  <si>
    <t>Prognoza na 2028</t>
  </si>
  <si>
    <t>spełnienie</t>
  </si>
  <si>
    <t>Wykonanie na
 31.12.2010</t>
  </si>
  <si>
    <t>9.11.2008</t>
  </si>
  <si>
    <t>Zadłużenie</t>
  </si>
  <si>
    <t xml:space="preserve">   </t>
  </si>
  <si>
    <t>OGÓŁEM:</t>
  </si>
  <si>
    <t>Rok 2029</t>
  </si>
  <si>
    <t>Rok 2028</t>
  </si>
  <si>
    <t>Rok 2027</t>
  </si>
  <si>
    <t>Rok 2026</t>
  </si>
  <si>
    <t>Rok 2025</t>
  </si>
  <si>
    <t>Rok 2024</t>
  </si>
  <si>
    <t>Rok 2023</t>
  </si>
  <si>
    <t>Rok 2022</t>
  </si>
  <si>
    <t>Rok 2021</t>
  </si>
  <si>
    <t>Rok 2020</t>
  </si>
  <si>
    <t>Rok 2019</t>
  </si>
  <si>
    <t>Rok 2018</t>
  </si>
  <si>
    <t>Rok 2017</t>
  </si>
  <si>
    <t>Rok 2016</t>
  </si>
  <si>
    <t>Rok 2015</t>
  </si>
  <si>
    <t>Rok 2014</t>
  </si>
  <si>
    <t>Rok 2013</t>
  </si>
  <si>
    <t>Rok 2012</t>
  </si>
  <si>
    <t>Rok 2011</t>
  </si>
  <si>
    <t>Rok 2010</t>
  </si>
  <si>
    <t xml:space="preserve">  </t>
  </si>
  <si>
    <t xml:space="preserve">                                                                                             </t>
  </si>
  <si>
    <t>Rok 2009</t>
  </si>
  <si>
    <t>Rok 2008</t>
  </si>
  <si>
    <t>Rok 2007</t>
  </si>
  <si>
    <t>Rok 2006</t>
  </si>
  <si>
    <t>Rok 2005</t>
  </si>
  <si>
    <t>Rok 2004</t>
  </si>
  <si>
    <t>Rok 2003</t>
  </si>
  <si>
    <t>Rok 2002</t>
  </si>
  <si>
    <t>Rok 2001</t>
  </si>
  <si>
    <t>15 lat</t>
  </si>
  <si>
    <t>14 lat</t>
  </si>
  <si>
    <t>6 lat</t>
  </si>
  <si>
    <t>3 lata</t>
  </si>
  <si>
    <t>Okres spłaty</t>
  </si>
  <si>
    <t>razem 2005</t>
  </si>
  <si>
    <t>Razem spłaty</t>
  </si>
  <si>
    <t>Wielkość kredytu</t>
  </si>
  <si>
    <t>w zł</t>
  </si>
  <si>
    <t>refinansow</t>
  </si>
  <si>
    <t>bieżący</t>
  </si>
  <si>
    <t>finansowanie</t>
  </si>
  <si>
    <t>bieżące bez odsetek</t>
  </si>
  <si>
    <t>Rok 2030</t>
  </si>
  <si>
    <t>Wydatki bieżące (bez odsetek)</t>
  </si>
  <si>
    <t>Wydatki bieżące na obsługę długu (odsetki)</t>
  </si>
  <si>
    <t>III rata nieruchomości przy ul. Głowackiego 17</t>
  </si>
  <si>
    <t xml:space="preserve">Sejmiku Województwa </t>
  </si>
  <si>
    <t>Warmińsko-Mazurskiego</t>
  </si>
  <si>
    <t>do Uchwały Nr</t>
  </si>
  <si>
    <t>PKB</t>
  </si>
  <si>
    <t>wzrost / spadek</t>
  </si>
  <si>
    <t>Lata</t>
  </si>
  <si>
    <t>wykonanie 2011</t>
  </si>
  <si>
    <t>plan 2012</t>
  </si>
  <si>
    <t>prognoza 2013</t>
  </si>
  <si>
    <t>prognoza 2014</t>
  </si>
  <si>
    <t>prognoza 2015</t>
  </si>
  <si>
    <t>prognoza 2016</t>
  </si>
  <si>
    <t>prognoza 2017</t>
  </si>
  <si>
    <t>prognoza 2018</t>
  </si>
  <si>
    <t>prognoza 2019</t>
  </si>
  <si>
    <t>prognoza 2020</t>
  </si>
  <si>
    <t>prognoza 2021</t>
  </si>
  <si>
    <t>prognoza 2022</t>
  </si>
  <si>
    <t>prognoza 2023</t>
  </si>
  <si>
    <t>prognoza 2024</t>
  </si>
  <si>
    <t>prognoza 2025</t>
  </si>
  <si>
    <t>prognoza 2026</t>
  </si>
  <si>
    <t>prognoza 2027</t>
  </si>
  <si>
    <t>prognoza 2028</t>
  </si>
  <si>
    <t>prognoza 2029</t>
  </si>
  <si>
    <t>prognoza 2030</t>
  </si>
  <si>
    <t xml:space="preserve">I. Dochody ogółem </t>
  </si>
  <si>
    <t>1. dochody bieżące, w tym:</t>
  </si>
  <si>
    <t>- środki z UE</t>
  </si>
  <si>
    <t>- CIT</t>
  </si>
  <si>
    <t>- PIT</t>
  </si>
  <si>
    <t>- subwencja</t>
  </si>
  <si>
    <t>- zlecone</t>
  </si>
  <si>
    <t>- pozostale</t>
  </si>
  <si>
    <t>- do naciągnięcia</t>
  </si>
  <si>
    <t>2. dochody majątkowe, w tym:</t>
  </si>
  <si>
    <t>- ze sprzedaży majatku</t>
  </si>
  <si>
    <t>- pozostałe</t>
  </si>
  <si>
    <t xml:space="preserve">I. Wydatki ogółem </t>
  </si>
  <si>
    <r>
      <t>1. wydatki bieżące</t>
    </r>
    <r>
      <rPr>
        <b/>
        <sz val="14"/>
        <color rgb="FF003399"/>
        <rFont val="Arial"/>
        <family val="2"/>
        <charset val="238"/>
      </rPr>
      <t xml:space="preserve"> *</t>
    </r>
  </si>
  <si>
    <t>a) wydatki jednostek budżetowych</t>
  </si>
  <si>
    <t>- wynagrodzenia i składki od nich naliczane</t>
  </si>
  <si>
    <t>- wydatki związane z realizacją ich statutowych zadań</t>
  </si>
  <si>
    <t>b) dotacje na zadania bieżące</t>
  </si>
  <si>
    <t>c) świadczenia na rzecz osób fizycznych</t>
  </si>
  <si>
    <t>d) przedsięwzięcia</t>
  </si>
  <si>
    <t>- wydatki na programy finansowane z udziałem środków z UE</t>
  </si>
  <si>
    <t xml:space="preserve">e) wypłaty z tytułu poręczeń i gwarancji </t>
  </si>
  <si>
    <t xml:space="preserve">f) obsługa długu </t>
  </si>
  <si>
    <t>g) zlecone</t>
  </si>
  <si>
    <t>h) pozostałe</t>
  </si>
  <si>
    <t>2. wydatki majątkowe</t>
  </si>
  <si>
    <t>a) inwestycje i zakupy inwestycyjne</t>
  </si>
  <si>
    <t>b) przedsięwzięcia</t>
  </si>
  <si>
    <t>c) zakup i objęcie akcji i udziałów oraz wniesienie wkładów do 
   spółek prawa handlowego</t>
  </si>
  <si>
    <t>d) zlecone</t>
  </si>
  <si>
    <t>nadwyżka operacyjna</t>
  </si>
  <si>
    <t>nadwyżka / deficyt</t>
  </si>
  <si>
    <t>wkład własny</t>
  </si>
  <si>
    <t>bieżące</t>
  </si>
  <si>
    <t>majątkowe</t>
  </si>
  <si>
    <r>
      <t xml:space="preserve">* </t>
    </r>
    <r>
      <rPr>
        <b/>
        <sz val="10"/>
        <color indexed="8"/>
        <rFont val="Arial"/>
        <family val="2"/>
        <charset val="238"/>
      </rPr>
      <t>wydatki bieżące na funkcjonwanie jednostki</t>
    </r>
  </si>
  <si>
    <t>żeby spełniony był  wsk. art. 243 u.f.p. należy je zmniejszyć o kwotę:</t>
  </si>
  <si>
    <t>kwota wydatków bieżących na funkcjonwanie jednostki po zmniejszeniu powinna wynieść:</t>
  </si>
  <si>
    <t>Nadwyżka operacyjna</t>
  </si>
  <si>
    <t>Przewidywane wykonanie 
na dzień 30.09.2012 r.</t>
  </si>
  <si>
    <t>Rok 2031</t>
  </si>
  <si>
    <t>Rok 2032</t>
  </si>
  <si>
    <t>Rok 2033</t>
  </si>
  <si>
    <t>Rok 2034</t>
  </si>
  <si>
    <t>Materiał pomocniczy - projekt budżetu na 2013 r.</t>
  </si>
  <si>
    <t>Rok 2035</t>
  </si>
  <si>
    <t>Rok 2036</t>
  </si>
  <si>
    <t xml:space="preserve">w sprawie Wieloletniej Prognozy Finansowej </t>
  </si>
  <si>
    <t xml:space="preserve">z dnia </t>
  </si>
  <si>
    <t>Województwa Warmińsko-Mazurskiego na lata 2013-2028</t>
  </si>
  <si>
    <t>Prognoza kwoty długu i spłat zobowiązań dla Warmińsko-Mazurskiego Urzędu Marszałkowskiego na lata 2013-2028</t>
  </si>
  <si>
    <t>Wykonanie na
31.12.2011</t>
  </si>
</sst>
</file>

<file path=xl/styles.xml><?xml version="1.0" encoding="utf-8"?>
<styleSheet xmlns="http://schemas.openxmlformats.org/spreadsheetml/2006/main">
  <numFmts count="1">
    <numFmt numFmtId="164" formatCode="0.000"/>
  </numFmts>
  <fonts count="40"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7"/>
      <name val="Arial CE"/>
      <charset val="238"/>
    </font>
    <font>
      <b/>
      <sz val="14"/>
      <name val="Arial CE"/>
      <family val="2"/>
      <charset val="238"/>
    </font>
    <font>
      <sz val="10"/>
      <color theme="0"/>
      <name val="Arial CE"/>
      <charset val="238"/>
    </font>
    <font>
      <sz val="10"/>
      <color theme="0"/>
      <name val="Arial CE"/>
      <family val="2"/>
      <charset val="238"/>
    </font>
    <font>
      <sz val="10"/>
      <color rgb="FFFF0000"/>
      <name val="Arial CE"/>
      <charset val="238"/>
    </font>
    <font>
      <sz val="10"/>
      <color rgb="FFFF0000"/>
      <name val="Arial CE"/>
      <family val="2"/>
      <charset val="238"/>
    </font>
    <font>
      <b/>
      <sz val="10"/>
      <name val="Arial"/>
      <family val="2"/>
      <charset val="238"/>
    </font>
    <font>
      <sz val="8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rgb="FF003399"/>
      <name val="Arial"/>
      <family val="2"/>
      <charset val="238"/>
    </font>
    <font>
      <sz val="10"/>
      <color rgb="FF003399"/>
      <name val="Arial"/>
      <family val="2"/>
      <charset val="238"/>
    </font>
    <font>
      <i/>
      <sz val="10"/>
      <color rgb="FF00B050"/>
      <name val="Arial"/>
      <family val="2"/>
      <charset val="238"/>
    </font>
    <font>
      <sz val="10"/>
      <color rgb="FF00B050"/>
      <name val="Arial"/>
      <family val="2"/>
      <charset val="238"/>
    </font>
    <font>
      <b/>
      <sz val="14"/>
      <color rgb="FF003399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b/>
      <sz val="10"/>
      <color theme="1"/>
      <name val="Arial CE"/>
      <family val="2"/>
      <charset val="238"/>
    </font>
    <font>
      <sz val="10"/>
      <color theme="1"/>
      <name val="Arial CE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rgb="FF0033CC"/>
      <name val="Times New Roman"/>
      <family val="1"/>
      <charset val="238"/>
    </font>
    <font>
      <sz val="10"/>
      <color rgb="FF0033CC"/>
      <name val="Times New Roman"/>
      <family val="1"/>
      <charset val="238"/>
    </font>
    <font>
      <sz val="10"/>
      <color rgb="FF00FF00"/>
      <name val="Times New Roman"/>
      <family val="1"/>
      <charset val="238"/>
    </font>
    <font>
      <b/>
      <sz val="10"/>
      <color rgb="FF00FF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rgb="FF7030A0"/>
      <name val="Times New Roman"/>
      <family val="1"/>
      <charset val="238"/>
    </font>
    <font>
      <b/>
      <sz val="10"/>
      <color theme="1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FF00"/>
        <bgColor indexed="64"/>
      </patternFill>
    </fill>
  </fills>
  <borders count="70">
    <border>
      <left/>
      <right/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ck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ck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ck">
        <color indexed="8"/>
      </left>
      <right style="medium">
        <color indexed="8"/>
      </right>
      <top style="medium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ck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thick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ck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8"/>
      </left>
      <right style="medium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/>
      <top style="thin">
        <color indexed="8"/>
      </top>
      <bottom style="thick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8"/>
      </bottom>
      <diagonal/>
    </border>
    <border>
      <left style="thick">
        <color indexed="8"/>
      </left>
      <right style="medium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/>
      <top style="thick">
        <color indexed="8"/>
      </top>
      <bottom style="thick">
        <color indexed="8"/>
      </bottom>
      <diagonal/>
    </border>
    <border>
      <left style="thick">
        <color indexed="8"/>
      </left>
      <right style="medium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8"/>
      </left>
      <right style="medium">
        <color indexed="8"/>
      </right>
      <top style="thick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medium">
        <color indexed="8"/>
      </bottom>
      <diagonal/>
    </border>
    <border>
      <left style="thick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ck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ck">
        <color indexed="8"/>
      </left>
      <right style="medium">
        <color indexed="8"/>
      </right>
      <top/>
      <bottom style="thick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ck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8"/>
      </bottom>
      <diagonal/>
    </border>
    <border>
      <left style="thick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ck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ck">
        <color indexed="8"/>
      </left>
      <right style="medium">
        <color indexed="8"/>
      </right>
      <top style="thick">
        <color indexed="8"/>
      </top>
      <bottom style="thin">
        <color auto="1"/>
      </bottom>
      <diagonal/>
    </border>
    <border>
      <left style="thick">
        <color indexed="8"/>
      </left>
      <right style="medium">
        <color indexed="8"/>
      </right>
      <top/>
      <bottom style="thin">
        <color indexed="64"/>
      </bottom>
      <diagonal/>
    </border>
    <border>
      <left style="thick">
        <color indexed="8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8"/>
      </bottom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>
      <alignment vertical="top"/>
    </xf>
  </cellStyleXfs>
  <cellXfs count="329">
    <xf numFmtId="0" fontId="0" fillId="0" borderId="0" xfId="0"/>
    <xf numFmtId="0" fontId="3" fillId="0" borderId="0" xfId="1"/>
    <xf numFmtId="0" fontId="3" fillId="0" borderId="0" xfId="1" applyAlignment="1"/>
    <xf numFmtId="3" fontId="4" fillId="0" borderId="6" xfId="1" applyNumberFormat="1" applyFont="1" applyFill="1" applyBorder="1" applyAlignment="1">
      <alignment horizontal="right" vertical="center" wrapText="1"/>
    </xf>
    <xf numFmtId="0" fontId="5" fillId="0" borderId="6" xfId="1" applyFont="1" applyBorder="1" applyAlignment="1">
      <alignment horizontal="center"/>
    </xf>
    <xf numFmtId="0" fontId="5" fillId="0" borderId="6" xfId="1" applyNumberFormat="1" applyFont="1" applyFill="1" applyBorder="1" applyAlignment="1">
      <alignment horizontal="center" vertical="center" wrapText="1"/>
    </xf>
    <xf numFmtId="0" fontId="4" fillId="0" borderId="6" xfId="1" applyNumberFormat="1" applyFont="1" applyFill="1" applyBorder="1" applyAlignment="1">
      <alignment horizontal="center" vertical="center" wrapText="1"/>
    </xf>
    <xf numFmtId="0" fontId="4" fillId="0" borderId="0" xfId="1" applyFont="1"/>
    <xf numFmtId="3" fontId="4" fillId="2" borderId="6" xfId="1" applyNumberFormat="1" applyFont="1" applyFill="1" applyBorder="1"/>
    <xf numFmtId="3" fontId="4" fillId="0" borderId="6" xfId="1" applyNumberFormat="1" applyFont="1" applyBorder="1"/>
    <xf numFmtId="0" fontId="4" fillId="0" borderId="6" xfId="1" applyFont="1" applyFill="1" applyBorder="1" applyAlignment="1"/>
    <xf numFmtId="3" fontId="4" fillId="2" borderId="7" xfId="1" applyNumberFormat="1" applyFont="1" applyFill="1" applyBorder="1"/>
    <xf numFmtId="0" fontId="3" fillId="0" borderId="6" xfId="1" applyBorder="1"/>
    <xf numFmtId="3" fontId="4" fillId="0" borderId="7" xfId="1" applyNumberFormat="1" applyFont="1" applyBorder="1"/>
    <xf numFmtId="3" fontId="6" fillId="0" borderId="6" xfId="1" applyNumberFormat="1" applyFont="1" applyBorder="1"/>
    <xf numFmtId="0" fontId="4" fillId="0" borderId="35" xfId="1" applyFont="1" applyBorder="1" applyAlignment="1"/>
    <xf numFmtId="3" fontId="6" fillId="0" borderId="7" xfId="1" applyNumberFormat="1" applyFont="1" applyBorder="1"/>
    <xf numFmtId="3" fontId="6" fillId="2" borderId="7" xfId="1" applyNumberFormat="1" applyFont="1" applyFill="1" applyBorder="1"/>
    <xf numFmtId="3" fontId="6" fillId="2" borderId="6" xfId="1" applyNumberFormat="1" applyFont="1" applyFill="1" applyBorder="1"/>
    <xf numFmtId="0" fontId="4" fillId="2" borderId="35" xfId="1" applyFont="1" applyFill="1" applyBorder="1" applyAlignment="1"/>
    <xf numFmtId="0" fontId="3" fillId="2" borderId="6" xfId="1" applyFill="1" applyBorder="1"/>
    <xf numFmtId="0" fontId="3" fillId="2" borderId="0" xfId="1" applyFill="1"/>
    <xf numFmtId="0" fontId="4" fillId="2" borderId="6" xfId="1" applyFont="1" applyFill="1" applyBorder="1" applyAlignment="1"/>
    <xf numFmtId="0" fontId="4" fillId="2" borderId="7" xfId="1" applyFont="1" applyFill="1" applyBorder="1" applyAlignment="1"/>
    <xf numFmtId="3" fontId="4" fillId="0" borderId="7" xfId="1" applyNumberFormat="1" applyFont="1" applyFill="1" applyBorder="1"/>
    <xf numFmtId="3" fontId="6" fillId="0" borderId="7" xfId="1" applyNumberFormat="1" applyFont="1" applyFill="1" applyBorder="1"/>
    <xf numFmtId="3" fontId="6" fillId="0" borderId="6" xfId="1" applyNumberFormat="1" applyFont="1" applyFill="1" applyBorder="1"/>
    <xf numFmtId="0" fontId="4" fillId="0" borderId="7" xfId="1" applyFont="1" applyFill="1" applyBorder="1" applyAlignment="1"/>
    <xf numFmtId="0" fontId="4" fillId="0" borderId="7" xfId="1" applyFont="1" applyBorder="1" applyAlignment="1"/>
    <xf numFmtId="0" fontId="4" fillId="0" borderId="6" xfId="1" applyFont="1" applyBorder="1" applyAlignment="1">
      <alignment horizontal="center" vertical="center"/>
    </xf>
    <xf numFmtId="0" fontId="4" fillId="2" borderId="6" xfId="1" applyFont="1" applyFill="1" applyBorder="1" applyAlignment="1">
      <alignment horizontal="center" vertical="center"/>
    </xf>
    <xf numFmtId="0" fontId="4" fillId="0" borderId="6" xfId="1" applyFont="1" applyBorder="1" applyAlignment="1">
      <alignment horizontal="center" vertical="center" wrapText="1"/>
    </xf>
    <xf numFmtId="3" fontId="4" fillId="2" borderId="6" xfId="1" applyNumberFormat="1" applyFont="1" applyFill="1" applyBorder="1" applyAlignment="1">
      <alignment horizontal="center" vertical="center" wrapText="1"/>
    </xf>
    <xf numFmtId="3" fontId="4" fillId="0" borderId="6" xfId="1" applyNumberFormat="1" applyFont="1" applyBorder="1" applyAlignment="1">
      <alignment horizontal="center" vertical="center" wrapText="1"/>
    </xf>
    <xf numFmtId="3" fontId="6" fillId="0" borderId="6" xfId="1" applyNumberFormat="1" applyFont="1" applyBorder="1" applyAlignment="1">
      <alignment horizontal="center" vertical="center" wrapText="1"/>
    </xf>
    <xf numFmtId="0" fontId="3" fillId="0" borderId="46" xfId="1" applyBorder="1"/>
    <xf numFmtId="3" fontId="4" fillId="0" borderId="46" xfId="1" applyNumberFormat="1" applyFont="1" applyBorder="1"/>
    <xf numFmtId="0" fontId="4" fillId="0" borderId="46" xfId="1" applyFont="1" applyBorder="1"/>
    <xf numFmtId="3" fontId="4" fillId="2" borderId="46" xfId="1" applyNumberFormat="1" applyFont="1" applyFill="1" applyBorder="1"/>
    <xf numFmtId="3" fontId="4" fillId="4" borderId="6" xfId="1" applyNumberFormat="1" applyFont="1" applyFill="1" applyBorder="1" applyAlignment="1">
      <alignment horizontal="center" vertical="center" wrapText="1"/>
    </xf>
    <xf numFmtId="0" fontId="4" fillId="4" borderId="6" xfId="1" applyNumberFormat="1" applyFont="1" applyFill="1" applyBorder="1" applyAlignment="1">
      <alignment horizontal="center" vertical="center" wrapText="1"/>
    </xf>
    <xf numFmtId="0" fontId="4" fillId="4" borderId="6" xfId="1" applyFont="1" applyFill="1" applyBorder="1" applyAlignment="1">
      <alignment horizontal="center" vertical="center"/>
    </xf>
    <xf numFmtId="3" fontId="4" fillId="4" borderId="7" xfId="1" applyNumberFormat="1" applyFont="1" applyFill="1" applyBorder="1"/>
    <xf numFmtId="3" fontId="4" fillId="4" borderId="6" xfId="1" applyNumberFormat="1" applyFont="1" applyFill="1" applyBorder="1"/>
    <xf numFmtId="0" fontId="3" fillId="4" borderId="6" xfId="1" applyFill="1" applyBorder="1"/>
    <xf numFmtId="0" fontId="3" fillId="4" borderId="7" xfId="1" applyFill="1" applyBorder="1"/>
    <xf numFmtId="3" fontId="5" fillId="4" borderId="7" xfId="1" applyNumberFormat="1" applyFont="1" applyFill="1" applyBorder="1"/>
    <xf numFmtId="0" fontId="4" fillId="4" borderId="35" xfId="1" applyFont="1" applyFill="1" applyBorder="1" applyAlignment="1"/>
    <xf numFmtId="3" fontId="6" fillId="4" borderId="6" xfId="1" applyNumberFormat="1" applyFont="1" applyFill="1" applyBorder="1"/>
    <xf numFmtId="3" fontId="6" fillId="4" borderId="7" xfId="1" applyNumberFormat="1" applyFont="1" applyFill="1" applyBorder="1"/>
    <xf numFmtId="3" fontId="4" fillId="4" borderId="46" xfId="1" applyNumberFormat="1" applyFont="1" applyFill="1" applyBorder="1"/>
    <xf numFmtId="0" fontId="3" fillId="4" borderId="46" xfId="1" applyFill="1" applyBorder="1"/>
    <xf numFmtId="0" fontId="3" fillId="4" borderId="0" xfId="1" applyFill="1"/>
    <xf numFmtId="3" fontId="4" fillId="4" borderId="6" xfId="1" applyNumberFormat="1" applyFont="1" applyFill="1" applyBorder="1" applyAlignment="1">
      <alignment horizontal="right" vertical="center" wrapText="1"/>
    </xf>
    <xf numFmtId="0" fontId="3" fillId="3" borderId="0" xfId="1" applyFill="1" applyAlignment="1">
      <alignment vertical="center"/>
    </xf>
    <xf numFmtId="0" fontId="6" fillId="3" borderId="0" xfId="1" applyFont="1" applyFill="1" applyAlignment="1"/>
    <xf numFmtId="0" fontId="6" fillId="3" borderId="0" xfId="1" applyFont="1" applyFill="1"/>
    <xf numFmtId="0" fontId="3" fillId="3" borderId="0" xfId="1" applyFill="1"/>
    <xf numFmtId="3" fontId="6" fillId="3" borderId="0" xfId="1" applyNumberFormat="1" applyFont="1" applyFill="1"/>
    <xf numFmtId="0" fontId="5" fillId="3" borderId="0" xfId="1" applyFont="1" applyFill="1"/>
    <xf numFmtId="3" fontId="3" fillId="3" borderId="0" xfId="1" applyNumberFormat="1" applyFill="1"/>
    <xf numFmtId="0" fontId="4" fillId="3" borderId="6" xfId="1" applyNumberFormat="1" applyFont="1" applyFill="1" applyBorder="1" applyAlignment="1">
      <alignment horizontal="center" vertical="center" wrapText="1"/>
    </xf>
    <xf numFmtId="3" fontId="4" fillId="3" borderId="6" xfId="1" applyNumberFormat="1" applyFont="1" applyFill="1" applyBorder="1" applyAlignment="1">
      <alignment horizontal="right" vertical="center" wrapText="1"/>
    </xf>
    <xf numFmtId="0" fontId="6" fillId="3" borderId="0" xfId="1" applyFont="1" applyFill="1" applyAlignment="1">
      <alignment horizontal="center"/>
    </xf>
    <xf numFmtId="3" fontId="7" fillId="3" borderId="0" xfId="1" applyNumberFormat="1" applyFont="1" applyFill="1"/>
    <xf numFmtId="0" fontId="9" fillId="3" borderId="0" xfId="1" applyFont="1" applyFill="1"/>
    <xf numFmtId="3" fontId="9" fillId="3" borderId="0" xfId="1" applyNumberFormat="1" applyFont="1" applyFill="1"/>
    <xf numFmtId="3" fontId="10" fillId="3" borderId="0" xfId="1" applyNumberFormat="1" applyFont="1" applyFill="1"/>
    <xf numFmtId="0" fontId="4" fillId="3" borderId="35" xfId="1" applyFont="1" applyFill="1" applyBorder="1" applyAlignment="1"/>
    <xf numFmtId="3" fontId="6" fillId="3" borderId="6" xfId="1" applyNumberFormat="1" applyFont="1" applyFill="1" applyBorder="1"/>
    <xf numFmtId="3" fontId="4" fillId="3" borderId="6" xfId="1" applyNumberFormat="1" applyFont="1" applyFill="1" applyBorder="1"/>
    <xf numFmtId="3" fontId="6" fillId="3" borderId="7" xfId="1" applyNumberFormat="1" applyFont="1" applyFill="1" applyBorder="1"/>
    <xf numFmtId="3" fontId="4" fillId="3" borderId="7" xfId="1" applyNumberFormat="1" applyFont="1" applyFill="1" applyBorder="1"/>
    <xf numFmtId="3" fontId="4" fillId="3" borderId="46" xfId="1" applyNumberFormat="1" applyFont="1" applyFill="1" applyBorder="1"/>
    <xf numFmtId="0" fontId="3" fillId="3" borderId="46" xfId="1" applyFill="1" applyBorder="1"/>
    <xf numFmtId="3" fontId="11" fillId="3" borderId="0" xfId="1" applyNumberFormat="1" applyFont="1" applyFill="1" applyAlignment="1">
      <alignment vertical="center"/>
    </xf>
    <xf numFmtId="3" fontId="12" fillId="5" borderId="0" xfId="1" applyNumberFormat="1" applyFont="1" applyFill="1" applyAlignment="1">
      <alignment horizontal="right" vertical="center"/>
    </xf>
    <xf numFmtId="49" fontId="1" fillId="3" borderId="23" xfId="3" applyNumberFormat="1" applyFont="1" applyFill="1" applyBorder="1" applyAlignment="1" applyProtection="1">
      <alignment horizontal="right" vertical="center"/>
      <protection locked="0"/>
    </xf>
    <xf numFmtId="49" fontId="1" fillId="3" borderId="64" xfId="3" applyNumberFormat="1" applyFont="1" applyFill="1" applyBorder="1" applyAlignment="1" applyProtection="1">
      <alignment horizontal="right" vertical="center"/>
      <protection locked="0"/>
    </xf>
    <xf numFmtId="49" fontId="13" fillId="3" borderId="44" xfId="3" applyNumberFormat="1" applyFont="1" applyFill="1" applyBorder="1" applyAlignment="1" applyProtection="1">
      <alignment horizontal="center" vertical="center"/>
      <protection locked="0"/>
    </xf>
    <xf numFmtId="10" fontId="1" fillId="0" borderId="6" xfId="3" applyNumberFormat="1" applyFont="1" applyFill="1" applyBorder="1" applyAlignment="1" applyProtection="1">
      <alignment horizontal="right" vertical="center"/>
      <protection locked="0"/>
    </xf>
    <xf numFmtId="0" fontId="1" fillId="0" borderId="0" xfId="3" applyNumberFormat="1" applyFont="1" applyFill="1" applyBorder="1" applyAlignment="1" applyProtection="1">
      <alignment horizontal="right" vertical="center"/>
      <protection locked="0"/>
    </xf>
    <xf numFmtId="49" fontId="15" fillId="3" borderId="23" xfId="3" applyNumberFormat="1" applyFont="1" applyFill="1" applyBorder="1" applyAlignment="1" applyProtection="1">
      <alignment horizontal="right"/>
      <protection locked="0"/>
    </xf>
    <xf numFmtId="49" fontId="15" fillId="3" borderId="64" xfId="3" applyNumberFormat="1" applyFont="1" applyFill="1" applyBorder="1" applyAlignment="1" applyProtection="1">
      <alignment horizontal="right"/>
      <protection locked="0"/>
    </xf>
    <xf numFmtId="49" fontId="15" fillId="3" borderId="44" xfId="3" applyNumberFormat="1" applyFont="1" applyFill="1" applyBorder="1" applyAlignment="1" applyProtection="1">
      <alignment horizontal="right"/>
      <protection locked="0"/>
    </xf>
    <xf numFmtId="0" fontId="15" fillId="3" borderId="6" xfId="3" applyNumberFormat="1" applyFont="1" applyFill="1" applyBorder="1" applyAlignment="1" applyProtection="1">
      <alignment horizontal="right"/>
      <protection locked="0"/>
    </xf>
    <xf numFmtId="10" fontId="15" fillId="0" borderId="6" xfId="3" applyNumberFormat="1" applyFont="1" applyFill="1" applyBorder="1" applyAlignment="1" applyProtection="1">
      <alignment horizontal="right"/>
      <protection locked="0"/>
    </xf>
    <xf numFmtId="10" fontId="15" fillId="3" borderId="6" xfId="3" applyNumberFormat="1" applyFont="1" applyFill="1" applyBorder="1" applyAlignment="1" applyProtection="1">
      <alignment horizontal="right"/>
      <protection locked="0"/>
    </xf>
    <xf numFmtId="0" fontId="15" fillId="3" borderId="0" xfId="3" applyNumberFormat="1" applyFont="1" applyFill="1" applyBorder="1" applyAlignment="1" applyProtection="1">
      <alignment horizontal="right"/>
      <protection locked="0"/>
    </xf>
    <xf numFmtId="49" fontId="16" fillId="3" borderId="0" xfId="3" applyNumberFormat="1" applyFont="1" applyFill="1" applyBorder="1" applyAlignment="1" applyProtection="1">
      <alignment horizontal="left"/>
      <protection locked="0"/>
    </xf>
    <xf numFmtId="0" fontId="16" fillId="3" borderId="0" xfId="3" applyNumberFormat="1" applyFont="1" applyFill="1" applyBorder="1" applyAlignment="1" applyProtection="1">
      <alignment horizontal="left"/>
      <protection locked="0"/>
    </xf>
    <xf numFmtId="0" fontId="16" fillId="0" borderId="0" xfId="3" applyNumberFormat="1" applyFont="1" applyFill="1" applyBorder="1" applyAlignment="1" applyProtection="1">
      <alignment horizontal="left"/>
      <protection locked="0"/>
    </xf>
    <xf numFmtId="0" fontId="16" fillId="0" borderId="65" xfId="3" applyNumberFormat="1" applyFont="1" applyFill="1" applyBorder="1" applyAlignment="1" applyProtection="1">
      <alignment horizontal="left"/>
      <protection locked="0"/>
    </xf>
    <xf numFmtId="0" fontId="17" fillId="0" borderId="0" xfId="3" applyNumberFormat="1" applyFont="1" applyFill="1" applyBorder="1" applyAlignment="1" applyProtection="1">
      <alignment horizontal="left"/>
      <protection locked="0"/>
    </xf>
    <xf numFmtId="0" fontId="17" fillId="0" borderId="44" xfId="3" applyNumberFormat="1" applyFont="1" applyFill="1" applyBorder="1" applyAlignment="1" applyProtection="1">
      <alignment horizontal="center" vertical="center" wrapText="1"/>
      <protection locked="0"/>
    </xf>
    <xf numFmtId="0" fontId="17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3" applyNumberFormat="1" applyFont="1" applyFill="1" applyBorder="1" applyAlignment="1" applyProtection="1">
      <alignment horizontal="left" vertical="center" wrapText="1"/>
      <protection locked="0"/>
    </xf>
    <xf numFmtId="0" fontId="17" fillId="0" borderId="0" xfId="3" applyNumberFormat="1" applyFont="1" applyFill="1" applyBorder="1" applyAlignment="1" applyProtection="1">
      <alignment horizontal="left" vertical="center" wrapText="1"/>
      <protection locked="0"/>
    </xf>
    <xf numFmtId="3" fontId="17" fillId="0" borderId="6" xfId="3" applyNumberFormat="1" applyFont="1" applyFill="1" applyBorder="1" applyAlignment="1" applyProtection="1">
      <alignment horizontal="right" vertical="center"/>
      <protection locked="0"/>
    </xf>
    <xf numFmtId="0" fontId="16" fillId="0" borderId="0" xfId="3" applyNumberFormat="1" applyFont="1" applyFill="1" applyBorder="1" applyAlignment="1" applyProtection="1">
      <alignment horizontal="left" vertical="center"/>
      <protection locked="0"/>
    </xf>
    <xf numFmtId="9" fontId="17" fillId="0" borderId="0" xfId="3" applyNumberFormat="1" applyFont="1" applyFill="1" applyBorder="1" applyAlignment="1" applyProtection="1">
      <alignment vertical="center"/>
      <protection locked="0"/>
    </xf>
    <xf numFmtId="10" fontId="16" fillId="0" borderId="0" xfId="3" applyNumberFormat="1" applyFont="1" applyFill="1" applyBorder="1" applyAlignment="1" applyProtection="1">
      <alignment horizontal="right" vertical="center"/>
      <protection locked="0"/>
    </xf>
    <xf numFmtId="0" fontId="14" fillId="0" borderId="0" xfId="3" applyNumberFormat="1" applyFont="1" applyFill="1" applyBorder="1" applyAlignment="1" applyProtection="1">
      <alignment horizontal="left" vertical="center"/>
      <protection locked="0"/>
    </xf>
    <xf numFmtId="0" fontId="17" fillId="0" borderId="0" xfId="3" applyNumberFormat="1" applyFont="1" applyFill="1" applyBorder="1" applyAlignment="1" applyProtection="1">
      <alignment horizontal="left" vertical="center"/>
      <protection locked="0"/>
    </xf>
    <xf numFmtId="49" fontId="18" fillId="3" borderId="66" xfId="3" applyNumberFormat="1" applyFont="1" applyFill="1" applyBorder="1" applyAlignment="1" applyProtection="1">
      <alignment horizontal="left" vertical="center"/>
      <protection locked="0"/>
    </xf>
    <xf numFmtId="3" fontId="18" fillId="3" borderId="46" xfId="3" applyNumberFormat="1" applyFont="1" applyFill="1" applyBorder="1" applyAlignment="1" applyProtection="1">
      <alignment horizontal="right" vertical="center"/>
      <protection locked="0"/>
    </xf>
    <xf numFmtId="3" fontId="19" fillId="3" borderId="0" xfId="3" applyNumberFormat="1" applyFont="1" applyFill="1" applyBorder="1" applyAlignment="1" applyProtection="1">
      <alignment horizontal="right" vertical="center"/>
      <protection locked="0"/>
    </xf>
    <xf numFmtId="9" fontId="18" fillId="3" borderId="0" xfId="3" applyNumberFormat="1" applyFont="1" applyFill="1" applyBorder="1" applyAlignment="1" applyProtection="1">
      <alignment horizontal="right" vertical="center"/>
      <protection locked="0"/>
    </xf>
    <xf numFmtId="10" fontId="19" fillId="3" borderId="0" xfId="3" applyNumberFormat="1" applyFont="1" applyFill="1" applyBorder="1" applyAlignment="1" applyProtection="1">
      <alignment horizontal="right" vertical="center"/>
      <protection locked="0"/>
    </xf>
    <xf numFmtId="0" fontId="18" fillId="3" borderId="0" xfId="3" applyNumberFormat="1" applyFont="1" applyFill="1" applyBorder="1" applyAlignment="1" applyProtection="1">
      <alignment horizontal="left" vertical="center"/>
      <protection locked="0"/>
    </xf>
    <xf numFmtId="49" fontId="20" fillId="3" borderId="65" xfId="3" applyNumberFormat="1" applyFont="1" applyFill="1" applyBorder="1" applyAlignment="1" applyProtection="1">
      <alignment horizontal="left" vertical="center"/>
      <protection locked="0"/>
    </xf>
    <xf numFmtId="49" fontId="20" fillId="3" borderId="0" xfId="3" applyNumberFormat="1" applyFont="1" applyFill="1" applyBorder="1" applyAlignment="1" applyProtection="1">
      <alignment horizontal="left" vertical="center"/>
      <protection locked="0"/>
    </xf>
    <xf numFmtId="49" fontId="20" fillId="3" borderId="68" xfId="3" applyNumberFormat="1" applyFont="1" applyFill="1" applyBorder="1" applyAlignment="1" applyProtection="1">
      <alignment horizontal="left" vertical="center"/>
      <protection locked="0"/>
    </xf>
    <xf numFmtId="3" fontId="20" fillId="3" borderId="46" xfId="3" applyNumberFormat="1" applyFont="1" applyFill="1" applyBorder="1" applyAlignment="1" applyProtection="1">
      <alignment horizontal="right" vertical="center"/>
      <protection locked="0"/>
    </xf>
    <xf numFmtId="3" fontId="20" fillId="3" borderId="0" xfId="3" applyNumberFormat="1" applyFont="1" applyFill="1" applyBorder="1" applyAlignment="1" applyProtection="1">
      <alignment horizontal="right" vertical="center"/>
      <protection locked="0"/>
    </xf>
    <xf numFmtId="10" fontId="20" fillId="3" borderId="0" xfId="3" applyNumberFormat="1" applyFont="1" applyFill="1" applyBorder="1" applyAlignment="1" applyProtection="1">
      <alignment horizontal="right" vertical="center"/>
      <protection locked="0"/>
    </xf>
    <xf numFmtId="0" fontId="20" fillId="3" borderId="0" xfId="3" applyNumberFormat="1" applyFont="1" applyFill="1" applyBorder="1" applyAlignment="1" applyProtection="1">
      <alignment horizontal="left" vertical="center"/>
      <protection locked="0"/>
    </xf>
    <xf numFmtId="3" fontId="20" fillId="3" borderId="0" xfId="3" applyNumberFormat="1" applyFont="1" applyFill="1" applyBorder="1" applyAlignment="1" applyProtection="1">
      <alignment horizontal="left" vertical="center"/>
      <protection locked="0"/>
    </xf>
    <xf numFmtId="3" fontId="21" fillId="3" borderId="46" xfId="3" applyNumberFormat="1" applyFont="1" applyFill="1" applyBorder="1" applyAlignment="1" applyProtection="1">
      <alignment horizontal="right" vertical="center"/>
      <protection locked="0"/>
    </xf>
    <xf numFmtId="49" fontId="20" fillId="7" borderId="65" xfId="3" applyNumberFormat="1" applyFont="1" applyFill="1" applyBorder="1" applyAlignment="1" applyProtection="1">
      <alignment horizontal="left" vertical="center"/>
      <protection locked="0"/>
    </xf>
    <xf numFmtId="49" fontId="20" fillId="7" borderId="0" xfId="3" applyNumberFormat="1" applyFont="1" applyFill="1" applyBorder="1" applyAlignment="1" applyProtection="1">
      <alignment horizontal="left" vertical="center"/>
      <protection locked="0"/>
    </xf>
    <xf numFmtId="49" fontId="20" fillId="7" borderId="68" xfId="3" applyNumberFormat="1" applyFont="1" applyFill="1" applyBorder="1" applyAlignment="1" applyProtection="1">
      <alignment horizontal="left" vertical="center"/>
      <protection locked="0"/>
    </xf>
    <xf numFmtId="3" fontId="20" fillId="7" borderId="46" xfId="3" applyNumberFormat="1" applyFont="1" applyFill="1" applyBorder="1" applyAlignment="1" applyProtection="1">
      <alignment horizontal="right" vertical="center"/>
      <protection locked="0"/>
    </xf>
    <xf numFmtId="3" fontId="20" fillId="7" borderId="0" xfId="3" applyNumberFormat="1" applyFont="1" applyFill="1" applyBorder="1" applyAlignment="1" applyProtection="1">
      <alignment horizontal="right" vertical="center"/>
      <protection locked="0"/>
    </xf>
    <xf numFmtId="10" fontId="20" fillId="7" borderId="0" xfId="3" applyNumberFormat="1" applyFont="1" applyFill="1" applyBorder="1" applyAlignment="1" applyProtection="1">
      <alignment horizontal="right" vertical="center"/>
      <protection locked="0"/>
    </xf>
    <xf numFmtId="0" fontId="20" fillId="7" borderId="0" xfId="3" applyNumberFormat="1" applyFont="1" applyFill="1" applyBorder="1" applyAlignment="1" applyProtection="1">
      <alignment horizontal="left" vertical="center"/>
      <protection locked="0"/>
    </xf>
    <xf numFmtId="3" fontId="18" fillId="3" borderId="7" xfId="3" applyNumberFormat="1" applyFont="1" applyFill="1" applyBorder="1" applyAlignment="1" applyProtection="1">
      <alignment horizontal="right" vertical="center"/>
      <protection locked="0"/>
    </xf>
    <xf numFmtId="49" fontId="18" fillId="3" borderId="23" xfId="3" applyNumberFormat="1" applyFont="1" applyFill="1" applyBorder="1" applyAlignment="1" applyProtection="1">
      <alignment horizontal="left" vertical="center"/>
      <protection locked="0"/>
    </xf>
    <xf numFmtId="3" fontId="18" fillId="0" borderId="35" xfId="3" applyNumberFormat="1" applyFont="1" applyFill="1" applyBorder="1" applyAlignment="1" applyProtection="1">
      <alignment horizontal="right" vertical="center"/>
      <protection locked="0"/>
    </xf>
    <xf numFmtId="0" fontId="19" fillId="0" borderId="0" xfId="3" applyNumberFormat="1" applyFont="1" applyFill="1" applyBorder="1" applyAlignment="1" applyProtection="1">
      <alignment horizontal="left" vertical="center"/>
      <protection locked="0"/>
    </xf>
    <xf numFmtId="0" fontId="18" fillId="0" borderId="0" xfId="3" applyNumberFormat="1" applyFont="1" applyFill="1" applyBorder="1" applyAlignment="1" applyProtection="1">
      <alignment horizontal="left" vertical="center"/>
      <protection locked="0"/>
    </xf>
    <xf numFmtId="49" fontId="23" fillId="3" borderId="66" xfId="3" applyNumberFormat="1" applyFont="1" applyFill="1" applyBorder="1" applyAlignment="1" applyProtection="1">
      <alignment horizontal="left" vertical="center"/>
      <protection locked="0"/>
    </xf>
    <xf numFmtId="49" fontId="23" fillId="3" borderId="62" xfId="3" applyNumberFormat="1" applyFont="1" applyFill="1" applyBorder="1" applyAlignment="1" applyProtection="1">
      <alignment horizontal="left" vertical="center"/>
      <protection locked="0"/>
    </xf>
    <xf numFmtId="3" fontId="23" fillId="3" borderId="7" xfId="3" applyNumberFormat="1" applyFont="1" applyFill="1" applyBorder="1" applyAlignment="1" applyProtection="1">
      <alignment horizontal="right" vertical="center"/>
      <protection locked="0"/>
    </xf>
    <xf numFmtId="0" fontId="23" fillId="3" borderId="0" xfId="3" applyNumberFormat="1" applyFont="1" applyFill="1" applyBorder="1" applyAlignment="1" applyProtection="1">
      <alignment horizontal="left" vertical="center"/>
      <protection locked="0"/>
    </xf>
    <xf numFmtId="49" fontId="23" fillId="3" borderId="65" xfId="3" applyNumberFormat="1" applyFont="1" applyFill="1" applyBorder="1" applyAlignment="1" applyProtection="1">
      <alignment horizontal="left" vertical="center"/>
      <protection locked="0"/>
    </xf>
    <xf numFmtId="49" fontId="23" fillId="3" borderId="0" xfId="3" applyNumberFormat="1" applyFont="1" applyFill="1" applyBorder="1" applyAlignment="1" applyProtection="1">
      <alignment horizontal="left" vertical="center"/>
      <protection locked="0"/>
    </xf>
    <xf numFmtId="3" fontId="23" fillId="3" borderId="46" xfId="3" applyNumberFormat="1" applyFont="1" applyFill="1" applyBorder="1" applyAlignment="1" applyProtection="1">
      <alignment horizontal="right" vertical="center"/>
      <protection locked="0"/>
    </xf>
    <xf numFmtId="49" fontId="20" fillId="3" borderId="0" xfId="3" applyNumberFormat="1" applyFont="1" applyFill="1" applyBorder="1" applyAlignment="1" applyProtection="1">
      <alignment horizontal="left" vertical="center" wrapText="1"/>
      <protection locked="0"/>
    </xf>
    <xf numFmtId="3" fontId="23" fillId="8" borderId="46" xfId="3" applyNumberFormat="1" applyFont="1" applyFill="1" applyBorder="1" applyAlignment="1" applyProtection="1">
      <alignment horizontal="right" vertical="center"/>
      <protection locked="0"/>
    </xf>
    <xf numFmtId="49" fontId="23" fillId="7" borderId="50" xfId="3" applyNumberFormat="1" applyFont="1" applyFill="1" applyBorder="1" applyAlignment="1" applyProtection="1">
      <alignment horizontal="left" vertical="center"/>
      <protection locked="0"/>
    </xf>
    <xf numFmtId="49" fontId="23" fillId="7" borderId="49" xfId="3" applyNumberFormat="1" applyFont="1" applyFill="1" applyBorder="1" applyAlignment="1" applyProtection="1">
      <alignment horizontal="left" vertical="center"/>
      <protection locked="0"/>
    </xf>
    <xf numFmtId="49" fontId="23" fillId="7" borderId="49" xfId="3" applyNumberFormat="1" applyFont="1" applyFill="1" applyBorder="1" applyAlignment="1" applyProtection="1">
      <alignment horizontal="left" vertical="center" wrapText="1"/>
      <protection locked="0"/>
    </xf>
    <xf numFmtId="49" fontId="20" fillId="7" borderId="49" xfId="3" applyNumberFormat="1" applyFont="1" applyFill="1" applyBorder="1" applyAlignment="1" applyProtection="1">
      <alignment horizontal="left" vertical="center"/>
      <protection locked="0"/>
    </xf>
    <xf numFmtId="49" fontId="20" fillId="7" borderId="69" xfId="3" applyNumberFormat="1" applyFont="1" applyFill="1" applyBorder="1" applyAlignment="1" applyProtection="1">
      <alignment horizontal="left" vertical="center"/>
      <protection locked="0"/>
    </xf>
    <xf numFmtId="3" fontId="23" fillId="7" borderId="35" xfId="3" applyNumberFormat="1" applyFont="1" applyFill="1" applyBorder="1" applyAlignment="1" applyProtection="1">
      <alignment horizontal="right" vertical="center"/>
      <protection locked="0"/>
    </xf>
    <xf numFmtId="0" fontId="23" fillId="7" borderId="0" xfId="3" applyNumberFormat="1" applyFont="1" applyFill="1" applyBorder="1" applyAlignment="1" applyProtection="1">
      <alignment horizontal="left" vertical="center"/>
      <protection locked="0"/>
    </xf>
    <xf numFmtId="49" fontId="18" fillId="3" borderId="50" xfId="3" applyNumberFormat="1" applyFont="1" applyFill="1" applyBorder="1" applyAlignment="1" applyProtection="1">
      <alignment horizontal="left" vertical="center"/>
      <protection locked="0"/>
    </xf>
    <xf numFmtId="3" fontId="18" fillId="3" borderId="6" xfId="3" applyNumberFormat="1" applyFont="1" applyFill="1" applyBorder="1" applyAlignment="1" applyProtection="1">
      <alignment horizontal="right" vertical="center"/>
      <protection locked="0"/>
    </xf>
    <xf numFmtId="0" fontId="19" fillId="3" borderId="0" xfId="3" applyNumberFormat="1" applyFont="1" applyFill="1" applyBorder="1" applyAlignment="1" applyProtection="1">
      <alignment horizontal="left" vertical="center"/>
      <protection locked="0"/>
    </xf>
    <xf numFmtId="49" fontId="20" fillId="3" borderId="0" xfId="3" applyNumberFormat="1" applyFont="1" applyFill="1" applyBorder="1" applyAlignment="1" applyProtection="1">
      <alignment vertical="center" wrapText="1"/>
      <protection locked="0"/>
    </xf>
    <xf numFmtId="49" fontId="23" fillId="3" borderId="65" xfId="3" applyNumberFormat="1" applyFont="1" applyFill="1" applyBorder="1" applyAlignment="1" applyProtection="1">
      <alignment horizontal="left"/>
      <protection locked="0"/>
    </xf>
    <xf numFmtId="49" fontId="23" fillId="3" borderId="0" xfId="3" applyNumberFormat="1" applyFont="1" applyFill="1" applyBorder="1" applyAlignment="1" applyProtection="1">
      <alignment horizontal="left"/>
      <protection locked="0"/>
    </xf>
    <xf numFmtId="0" fontId="23" fillId="3" borderId="0" xfId="3" applyNumberFormat="1" applyFont="1" applyFill="1" applyBorder="1" applyAlignment="1" applyProtection="1">
      <alignment horizontal="left"/>
      <protection locked="0"/>
    </xf>
    <xf numFmtId="49" fontId="23" fillId="7" borderId="50" xfId="3" applyNumberFormat="1" applyFont="1" applyFill="1" applyBorder="1" applyAlignment="1" applyProtection="1">
      <alignment horizontal="left"/>
      <protection locked="0"/>
    </xf>
    <xf numFmtId="49" fontId="23" fillId="7" borderId="49" xfId="3" applyNumberFormat="1" applyFont="1" applyFill="1" applyBorder="1" applyAlignment="1" applyProtection="1">
      <alignment horizontal="left"/>
      <protection locked="0"/>
    </xf>
    <xf numFmtId="49" fontId="23" fillId="7" borderId="49" xfId="3" applyNumberFormat="1" applyFont="1" applyFill="1" applyBorder="1" applyAlignment="1" applyProtection="1">
      <alignment vertical="center" wrapText="1"/>
      <protection locked="0"/>
    </xf>
    <xf numFmtId="0" fontId="23" fillId="7" borderId="0" xfId="3" applyNumberFormat="1" applyFont="1" applyFill="1" applyBorder="1" applyAlignment="1" applyProtection="1">
      <alignment horizontal="left"/>
      <protection locked="0"/>
    </xf>
    <xf numFmtId="49" fontId="16" fillId="5" borderId="23" xfId="3" applyNumberFormat="1" applyFont="1" applyFill="1" applyBorder="1" applyAlignment="1" applyProtection="1">
      <alignment horizontal="left" vertical="center"/>
      <protection locked="0"/>
    </xf>
    <xf numFmtId="49" fontId="16" fillId="5" borderId="64" xfId="3" applyNumberFormat="1" applyFont="1" applyFill="1" applyBorder="1" applyAlignment="1" applyProtection="1">
      <alignment horizontal="left" vertical="center"/>
      <protection locked="0"/>
    </xf>
    <xf numFmtId="49" fontId="16" fillId="5" borderId="44" xfId="3" applyNumberFormat="1" applyFont="1" applyFill="1" applyBorder="1" applyAlignment="1" applyProtection="1">
      <alignment horizontal="left" vertical="center"/>
      <protection locked="0"/>
    </xf>
    <xf numFmtId="3" fontId="16" fillId="5" borderId="6" xfId="3" applyNumberFormat="1" applyFont="1" applyFill="1" applyBorder="1" applyAlignment="1" applyProtection="1">
      <alignment horizontal="right" vertical="center"/>
      <protection locked="0"/>
    </xf>
    <xf numFmtId="3" fontId="16" fillId="0" borderId="6" xfId="3" applyNumberFormat="1" applyFont="1" applyFill="1" applyBorder="1" applyAlignment="1" applyProtection="1">
      <alignment horizontal="right" vertical="center"/>
      <protection locked="0"/>
    </xf>
    <xf numFmtId="49" fontId="16" fillId="3" borderId="23" xfId="3" applyNumberFormat="1" applyFont="1" applyFill="1" applyBorder="1" applyAlignment="1" applyProtection="1">
      <alignment horizontal="left" vertical="center"/>
      <protection locked="0"/>
    </xf>
    <xf numFmtId="49" fontId="16" fillId="3" borderId="64" xfId="3" applyNumberFormat="1" applyFont="1" applyFill="1" applyBorder="1" applyAlignment="1" applyProtection="1">
      <alignment horizontal="left" vertical="center"/>
      <protection locked="0"/>
    </xf>
    <xf numFmtId="49" fontId="16" fillId="3" borderId="44" xfId="3" applyNumberFormat="1" applyFont="1" applyFill="1" applyBorder="1" applyAlignment="1" applyProtection="1">
      <alignment horizontal="left" vertical="center"/>
      <protection locked="0"/>
    </xf>
    <xf numFmtId="3" fontId="16" fillId="3" borderId="0" xfId="3" applyNumberFormat="1" applyFont="1" applyFill="1" applyBorder="1" applyAlignment="1" applyProtection="1">
      <alignment horizontal="right"/>
      <protection locked="0"/>
    </xf>
    <xf numFmtId="49" fontId="16" fillId="3" borderId="23" xfId="3" applyNumberFormat="1" applyFont="1" applyFill="1" applyBorder="1" applyAlignment="1" applyProtection="1">
      <protection locked="0"/>
    </xf>
    <xf numFmtId="49" fontId="16" fillId="3" borderId="64" xfId="3" applyNumberFormat="1" applyFont="1" applyFill="1" applyBorder="1" applyAlignment="1" applyProtection="1">
      <protection locked="0"/>
    </xf>
    <xf numFmtId="49" fontId="16" fillId="3" borderId="44" xfId="3" applyNumberFormat="1" applyFont="1" applyFill="1" applyBorder="1" applyAlignment="1" applyProtection="1">
      <alignment vertical="center"/>
      <protection locked="0"/>
    </xf>
    <xf numFmtId="3" fontId="16" fillId="3" borderId="6" xfId="3" applyNumberFormat="1" applyFont="1" applyFill="1" applyBorder="1" applyAlignment="1" applyProtection="1">
      <alignment horizontal="right" vertical="center"/>
      <protection locked="0"/>
    </xf>
    <xf numFmtId="49" fontId="17" fillId="3" borderId="0" xfId="3" applyNumberFormat="1" applyFont="1" applyFill="1" applyBorder="1" applyAlignment="1" applyProtection="1">
      <alignment horizontal="left"/>
      <protection locked="0"/>
    </xf>
    <xf numFmtId="3" fontId="17" fillId="3" borderId="6" xfId="3" applyNumberFormat="1" applyFont="1" applyFill="1" applyBorder="1" applyAlignment="1" applyProtection="1">
      <alignment horizontal="right" vertical="center"/>
      <protection locked="0"/>
    </xf>
    <xf numFmtId="0" fontId="17" fillId="3" borderId="0" xfId="3" applyNumberFormat="1" applyFont="1" applyFill="1" applyBorder="1" applyAlignment="1" applyProtection="1">
      <alignment horizontal="left"/>
      <protection locked="0"/>
    </xf>
    <xf numFmtId="3" fontId="17" fillId="3" borderId="0" xfId="3" applyNumberFormat="1" applyFont="1" applyFill="1" applyBorder="1" applyAlignment="1" applyProtection="1">
      <alignment horizontal="right" vertical="center"/>
      <protection locked="0"/>
    </xf>
    <xf numFmtId="49" fontId="25" fillId="3" borderId="0" xfId="3" applyNumberFormat="1" applyFont="1" applyFill="1" applyBorder="1" applyAlignment="1" applyProtection="1">
      <alignment horizontal="left"/>
      <protection locked="0"/>
    </xf>
    <xf numFmtId="0" fontId="25" fillId="3" borderId="0" xfId="3" applyNumberFormat="1" applyFont="1" applyFill="1" applyBorder="1" applyAlignment="1" applyProtection="1">
      <alignment horizontal="left"/>
      <protection locked="0"/>
    </xf>
    <xf numFmtId="3" fontId="26" fillId="3" borderId="0" xfId="3" applyNumberFormat="1" applyFont="1" applyFill="1" applyBorder="1" applyAlignment="1" applyProtection="1">
      <alignment horizontal="right" vertical="center"/>
      <protection locked="0"/>
    </xf>
    <xf numFmtId="3" fontId="25" fillId="3" borderId="0" xfId="3" applyNumberFormat="1" applyFont="1" applyFill="1" applyBorder="1" applyAlignment="1" applyProtection="1">
      <alignment horizontal="right" vertical="center"/>
      <protection locked="0"/>
    </xf>
    <xf numFmtId="49" fontId="16" fillId="0" borderId="0" xfId="3" applyNumberFormat="1" applyFont="1" applyFill="1" applyBorder="1" applyAlignment="1" applyProtection="1">
      <alignment horizontal="left"/>
      <protection locked="0"/>
    </xf>
    <xf numFmtId="10" fontId="16" fillId="0" borderId="0" xfId="3" applyNumberFormat="1" applyFont="1" applyFill="1" applyBorder="1" applyAlignment="1" applyProtection="1">
      <alignment horizontal="right"/>
      <protection locked="0"/>
    </xf>
    <xf numFmtId="3" fontId="4" fillId="2" borderId="0" xfId="1" applyNumberFormat="1" applyFont="1" applyFill="1" applyBorder="1"/>
    <xf numFmtId="0" fontId="3" fillId="0" borderId="0" xfId="1" applyBorder="1"/>
    <xf numFmtId="3" fontId="3" fillId="0" borderId="0" xfId="1" applyNumberFormat="1"/>
    <xf numFmtId="0" fontId="27" fillId="9" borderId="6" xfId="1" applyFont="1" applyFill="1" applyBorder="1" applyAlignment="1">
      <alignment horizontal="center" vertical="center"/>
    </xf>
    <xf numFmtId="0" fontId="27" fillId="9" borderId="6" xfId="1" applyNumberFormat="1" applyFont="1" applyFill="1" applyBorder="1" applyAlignment="1">
      <alignment horizontal="center" vertical="center" wrapText="1"/>
    </xf>
    <xf numFmtId="0" fontId="28" fillId="9" borderId="6" xfId="1" applyNumberFormat="1" applyFont="1" applyFill="1" applyBorder="1" applyAlignment="1">
      <alignment horizontal="center" vertical="center" wrapText="1"/>
    </xf>
    <xf numFmtId="0" fontId="28" fillId="9" borderId="46" xfId="1" applyFont="1" applyFill="1" applyBorder="1"/>
    <xf numFmtId="0" fontId="28" fillId="9" borderId="0" xfId="1" applyFont="1" applyFill="1"/>
    <xf numFmtId="49" fontId="17" fillId="3" borderId="7" xfId="3" applyNumberFormat="1" applyFont="1" applyFill="1" applyBorder="1" applyAlignment="1" applyProtection="1">
      <alignment horizontal="left" vertical="center"/>
      <protection locked="0"/>
    </xf>
    <xf numFmtId="49" fontId="17" fillId="0" borderId="6" xfId="3" applyNumberFormat="1" applyFont="1" applyFill="1" applyBorder="1" applyAlignment="1" applyProtection="1">
      <alignment horizontal="center" vertical="center"/>
      <protection locked="0"/>
    </xf>
    <xf numFmtId="0" fontId="17" fillId="0" borderId="6" xfId="3" applyNumberFormat="1" applyFont="1" applyFill="1" applyBorder="1" applyAlignment="1" applyProtection="1">
      <alignment horizontal="center"/>
      <protection locked="0"/>
    </xf>
    <xf numFmtId="0" fontId="17" fillId="0" borderId="64" xfId="3" applyNumberFormat="1" applyFont="1" applyFill="1" applyBorder="1" applyAlignment="1" applyProtection="1">
      <alignment horizontal="center"/>
      <protection locked="0"/>
    </xf>
    <xf numFmtId="0" fontId="17" fillId="0" borderId="44" xfId="3" applyNumberFormat="1" applyFont="1" applyFill="1" applyBorder="1" applyAlignment="1" applyProtection="1">
      <alignment horizontal="center"/>
      <protection locked="0"/>
    </xf>
    <xf numFmtId="49" fontId="18" fillId="3" borderId="62" xfId="3" applyNumberFormat="1" applyFont="1" applyFill="1" applyBorder="1" applyAlignment="1" applyProtection="1">
      <alignment horizontal="left" vertical="center"/>
      <protection locked="0"/>
    </xf>
    <xf numFmtId="49" fontId="18" fillId="3" borderId="67" xfId="3" applyNumberFormat="1" applyFont="1" applyFill="1" applyBorder="1" applyAlignment="1" applyProtection="1">
      <alignment horizontal="left" vertical="center"/>
      <protection locked="0"/>
    </xf>
    <xf numFmtId="49" fontId="23" fillId="3" borderId="0" xfId="3" applyNumberFormat="1" applyFont="1" applyFill="1" applyBorder="1" applyAlignment="1" applyProtection="1">
      <alignment horizontal="left" vertical="center" wrapText="1"/>
      <protection locked="0"/>
    </xf>
    <xf numFmtId="49" fontId="23" fillId="3" borderId="68" xfId="3" applyNumberFormat="1" applyFont="1" applyFill="1" applyBorder="1" applyAlignment="1" applyProtection="1">
      <alignment horizontal="left" vertical="center" wrapText="1"/>
      <protection locked="0"/>
    </xf>
    <xf numFmtId="49" fontId="18" fillId="3" borderId="64" xfId="3" applyNumberFormat="1" applyFont="1" applyFill="1" applyBorder="1" applyAlignment="1" applyProtection="1">
      <alignment horizontal="left" vertical="center"/>
      <protection locked="0"/>
    </xf>
    <xf numFmtId="49" fontId="18" fillId="3" borderId="44" xfId="3" applyNumberFormat="1" applyFont="1" applyFill="1" applyBorder="1" applyAlignment="1" applyProtection="1">
      <alignment horizontal="left" vertical="center"/>
      <protection locked="0"/>
    </xf>
    <xf numFmtId="49" fontId="23" fillId="3" borderId="62" xfId="3" applyNumberFormat="1" applyFont="1" applyFill="1" applyBorder="1" applyAlignment="1" applyProtection="1">
      <alignment horizontal="left" vertical="center"/>
      <protection locked="0"/>
    </xf>
    <xf numFmtId="49" fontId="23" fillId="3" borderId="67" xfId="3" applyNumberFormat="1" applyFont="1" applyFill="1" applyBorder="1" applyAlignment="1" applyProtection="1">
      <alignment horizontal="left" vertical="center"/>
      <protection locked="0"/>
    </xf>
    <xf numFmtId="49" fontId="20" fillId="3" borderId="0" xfId="3" applyNumberFormat="1" applyFont="1" applyFill="1" applyBorder="1" applyAlignment="1" applyProtection="1">
      <alignment horizontal="left" vertical="center"/>
      <protection locked="0"/>
    </xf>
    <xf numFmtId="49" fontId="20" fillId="3" borderId="68" xfId="3" applyNumberFormat="1" applyFont="1" applyFill="1" applyBorder="1" applyAlignment="1" applyProtection="1">
      <alignment horizontal="left" vertical="center"/>
      <protection locked="0"/>
    </xf>
    <xf numFmtId="49" fontId="23" fillId="3" borderId="0" xfId="3" applyNumberFormat="1" applyFont="1" applyFill="1" applyBorder="1" applyAlignment="1" applyProtection="1">
      <alignment horizontal="left" vertical="center"/>
      <protection locked="0"/>
    </xf>
    <xf numFmtId="49" fontId="23" fillId="3" borderId="68" xfId="3" applyNumberFormat="1" applyFont="1" applyFill="1" applyBorder="1" applyAlignment="1" applyProtection="1">
      <alignment horizontal="left" vertical="center"/>
      <protection locked="0"/>
    </xf>
    <xf numFmtId="49" fontId="24" fillId="3" borderId="0" xfId="3" applyNumberFormat="1" applyFont="1" applyFill="1" applyBorder="1" applyAlignment="1" applyProtection="1">
      <alignment horizontal="left" vertical="center"/>
      <protection locked="0"/>
    </xf>
    <xf numFmtId="49" fontId="18" fillId="3" borderId="49" xfId="3" applyNumberFormat="1" applyFont="1" applyFill="1" applyBorder="1" applyAlignment="1" applyProtection="1">
      <alignment horizontal="left" vertical="center"/>
      <protection locked="0"/>
    </xf>
    <xf numFmtId="49" fontId="18" fillId="3" borderId="69" xfId="3" applyNumberFormat="1" applyFont="1" applyFill="1" applyBorder="1" applyAlignment="1" applyProtection="1">
      <alignment horizontal="left" vertical="center"/>
      <protection locked="0"/>
    </xf>
    <xf numFmtId="49" fontId="23" fillId="3" borderId="62" xfId="3" applyNumberFormat="1" applyFont="1" applyFill="1" applyBorder="1" applyAlignment="1" applyProtection="1">
      <alignment horizontal="left" vertical="center" wrapText="1"/>
      <protection locked="0"/>
    </xf>
    <xf numFmtId="49" fontId="23" fillId="3" borderId="67" xfId="3" applyNumberFormat="1" applyFont="1" applyFill="1" applyBorder="1" applyAlignment="1" applyProtection="1">
      <alignment horizontal="left" vertical="center" wrapText="1"/>
      <protection locked="0"/>
    </xf>
    <xf numFmtId="0" fontId="4" fillId="3" borderId="23" xfId="1" applyFont="1" applyFill="1" applyBorder="1" applyAlignment="1">
      <alignment horizontal="center" vertical="center" wrapText="1"/>
    </xf>
    <xf numFmtId="0" fontId="4" fillId="3" borderId="44" xfId="1" applyFont="1" applyFill="1" applyBorder="1" applyAlignment="1">
      <alignment horizontal="center" vertical="center" wrapText="1"/>
    </xf>
    <xf numFmtId="0" fontId="8" fillId="3" borderId="0" xfId="1" applyFont="1" applyFill="1" applyAlignment="1">
      <alignment horizontal="center" vertical="center" wrapText="1"/>
    </xf>
    <xf numFmtId="0" fontId="29" fillId="3" borderId="0" xfId="0" applyFont="1" applyFill="1"/>
    <xf numFmtId="0" fontId="29" fillId="3" borderId="0" xfId="0" applyFont="1" applyFill="1" applyAlignment="1">
      <alignment vertical="center"/>
    </xf>
    <xf numFmtId="0" fontId="29" fillId="3" borderId="0" xfId="0" applyFont="1" applyFill="1" applyAlignment="1">
      <alignment horizontal="left" vertical="center"/>
    </xf>
    <xf numFmtId="3" fontId="29" fillId="3" borderId="0" xfId="2" applyNumberFormat="1" applyFont="1" applyFill="1" applyBorder="1" applyAlignment="1" applyProtection="1">
      <alignment vertical="center" wrapText="1"/>
      <protection locked="0"/>
    </xf>
    <xf numFmtId="3" fontId="29" fillId="3" borderId="0" xfId="2" applyNumberFormat="1" applyFont="1" applyFill="1" applyBorder="1" applyAlignment="1" applyProtection="1">
      <alignment vertical="top" wrapText="1"/>
      <protection locked="0"/>
    </xf>
    <xf numFmtId="0" fontId="30" fillId="3" borderId="0" xfId="0" applyFont="1" applyFill="1" applyAlignment="1">
      <alignment horizontal="center" vertical="center"/>
    </xf>
    <xf numFmtId="0" fontId="29" fillId="3" borderId="0" xfId="0" applyFont="1" applyFill="1" applyAlignment="1">
      <alignment vertical="center"/>
    </xf>
    <xf numFmtId="0" fontId="30" fillId="3" borderId="36" xfId="0" applyFont="1" applyFill="1" applyBorder="1" applyAlignment="1" applyProtection="1">
      <alignment horizontal="center" vertical="center"/>
    </xf>
    <xf numFmtId="0" fontId="30" fillId="3" borderId="37" xfId="0" applyFont="1" applyFill="1" applyBorder="1" applyAlignment="1" applyProtection="1">
      <alignment horizontal="center" vertical="center" wrapText="1"/>
      <protection locked="0"/>
    </xf>
    <xf numFmtId="0" fontId="31" fillId="3" borderId="13" xfId="0" applyFont="1" applyFill="1" applyBorder="1" applyAlignment="1" applyProtection="1">
      <alignment vertical="center" wrapText="1"/>
    </xf>
    <xf numFmtId="3" fontId="31" fillId="3" borderId="14" xfId="0" applyNumberFormat="1" applyFont="1" applyFill="1" applyBorder="1" applyAlignment="1" applyProtection="1">
      <alignment vertical="center"/>
    </xf>
    <xf numFmtId="3" fontId="31" fillId="3" borderId="22" xfId="0" applyNumberFormat="1" applyFont="1" applyFill="1" applyBorder="1" applyAlignment="1" applyProtection="1">
      <alignment vertical="center"/>
    </xf>
    <xf numFmtId="0" fontId="32" fillId="3" borderId="0" xfId="0" applyFont="1" applyFill="1"/>
    <xf numFmtId="0" fontId="29" fillId="3" borderId="56" xfId="0" applyFont="1" applyFill="1" applyBorder="1" applyAlignment="1" applyProtection="1">
      <alignment vertical="center" wrapText="1"/>
    </xf>
    <xf numFmtId="3" fontId="29" fillId="3" borderId="0" xfId="0" applyNumberFormat="1" applyFont="1" applyFill="1" applyBorder="1" applyAlignment="1" applyProtection="1">
      <alignment vertical="center"/>
      <protection locked="0"/>
    </xf>
    <xf numFmtId="3" fontId="29" fillId="3" borderId="8" xfId="0" applyNumberFormat="1" applyFont="1" applyFill="1" applyBorder="1" applyAlignment="1" applyProtection="1">
      <alignment horizontal="right" vertical="center"/>
      <protection locked="0"/>
    </xf>
    <xf numFmtId="3" fontId="29" fillId="3" borderId="53" xfId="0" applyNumberFormat="1" applyFont="1" applyFill="1" applyBorder="1" applyAlignment="1" applyProtection="1">
      <alignment vertical="center"/>
      <protection locked="0"/>
    </xf>
    <xf numFmtId="3" fontId="29" fillId="3" borderId="57" xfId="0" applyNumberFormat="1" applyFont="1" applyFill="1" applyBorder="1" applyAlignment="1" applyProtection="1">
      <alignment vertical="center"/>
      <protection locked="0"/>
    </xf>
    <xf numFmtId="0" fontId="29" fillId="3" borderId="9" xfId="0" applyFont="1" applyFill="1" applyBorder="1" applyAlignment="1" applyProtection="1">
      <alignment vertical="center" wrapText="1"/>
    </xf>
    <xf numFmtId="3" fontId="29" fillId="3" borderId="6" xfId="0" applyNumberFormat="1" applyFont="1" applyFill="1" applyBorder="1" applyAlignment="1">
      <alignment horizontal="right" vertical="center"/>
    </xf>
    <xf numFmtId="3" fontId="29" fillId="3" borderId="6" xfId="0" applyNumberFormat="1" applyFont="1" applyFill="1" applyBorder="1" applyAlignment="1" applyProtection="1">
      <alignment horizontal="right" vertical="center"/>
      <protection locked="0"/>
    </xf>
    <xf numFmtId="3" fontId="29" fillId="3" borderId="2" xfId="0" applyNumberFormat="1" applyFont="1" applyFill="1" applyBorder="1" applyAlignment="1" applyProtection="1">
      <alignment vertical="center"/>
      <protection locked="0"/>
    </xf>
    <xf numFmtId="0" fontId="29" fillId="3" borderId="11" xfId="0" applyFont="1" applyFill="1" applyBorder="1" applyAlignment="1" applyProtection="1">
      <alignment vertical="center" wrapText="1"/>
    </xf>
    <xf numFmtId="3" fontId="29" fillId="3" borderId="5" xfId="0" applyNumberFormat="1" applyFont="1" applyFill="1" applyBorder="1" applyAlignment="1" applyProtection="1">
      <alignment vertical="center"/>
      <protection locked="0"/>
    </xf>
    <xf numFmtId="3" fontId="29" fillId="3" borderId="5" xfId="0" applyNumberFormat="1" applyFont="1" applyFill="1" applyBorder="1" applyAlignment="1" applyProtection="1">
      <alignment horizontal="right" vertical="center"/>
      <protection locked="0"/>
    </xf>
    <xf numFmtId="3" fontId="29" fillId="3" borderId="4" xfId="0" applyNumberFormat="1" applyFont="1" applyFill="1" applyBorder="1" applyAlignment="1" applyProtection="1">
      <alignment vertical="center"/>
      <protection locked="0"/>
    </xf>
    <xf numFmtId="0" fontId="33" fillId="3" borderId="0" xfId="0" applyFont="1" applyFill="1"/>
    <xf numFmtId="0" fontId="34" fillId="3" borderId="13" xfId="0" applyFont="1" applyFill="1" applyBorder="1" applyAlignment="1" applyProtection="1">
      <alignment vertical="center" wrapText="1"/>
    </xf>
    <xf numFmtId="3" fontId="34" fillId="3" borderId="14" xfId="0" applyNumberFormat="1" applyFont="1" applyFill="1" applyBorder="1" applyAlignment="1" applyProtection="1">
      <alignment vertical="center"/>
    </xf>
    <xf numFmtId="0" fontId="29" fillId="3" borderId="49" xfId="0" applyFont="1" applyFill="1" applyBorder="1"/>
    <xf numFmtId="0" fontId="29" fillId="3" borderId="58" xfId="0" applyFont="1" applyFill="1" applyBorder="1" applyAlignment="1" applyProtection="1">
      <alignment vertical="center" wrapText="1"/>
    </xf>
    <xf numFmtId="3" fontId="29" fillId="3" borderId="51" xfId="0" applyNumberFormat="1" applyFont="1" applyFill="1" applyBorder="1" applyAlignment="1" applyProtection="1">
      <alignment vertical="center"/>
      <protection locked="0"/>
    </xf>
    <xf numFmtId="3" fontId="29" fillId="3" borderId="52" xfId="0" applyNumberFormat="1" applyFont="1" applyFill="1" applyBorder="1" applyAlignment="1" applyProtection="1">
      <alignment horizontal="right" vertical="center"/>
      <protection locked="0"/>
    </xf>
    <xf numFmtId="3" fontId="29" fillId="3" borderId="52" xfId="0" applyNumberFormat="1" applyFont="1" applyFill="1" applyBorder="1" applyAlignment="1" applyProtection="1">
      <alignment vertical="center"/>
      <protection locked="0"/>
    </xf>
    <xf numFmtId="0" fontId="29" fillId="3" borderId="50" xfId="0" applyFont="1" applyFill="1" applyBorder="1"/>
    <xf numFmtId="0" fontId="29" fillId="3" borderId="59" xfId="0" applyFont="1" applyFill="1" applyBorder="1" applyAlignment="1" applyProtection="1">
      <alignment vertical="center" wrapText="1"/>
    </xf>
    <xf numFmtId="3" fontId="29" fillId="3" borderId="35" xfId="0" applyNumberFormat="1" applyFont="1" applyFill="1" applyBorder="1" applyAlignment="1" applyProtection="1">
      <alignment vertical="center"/>
      <protection locked="0"/>
    </xf>
    <xf numFmtId="3" fontId="29" fillId="6" borderId="16" xfId="0" applyNumberFormat="1" applyFont="1" applyFill="1" applyBorder="1" applyAlignment="1" applyProtection="1">
      <alignment vertical="center"/>
      <protection locked="0"/>
    </xf>
    <xf numFmtId="3" fontId="29" fillId="3" borderId="15" xfId="0" applyNumberFormat="1" applyFont="1" applyFill="1" applyBorder="1" applyAlignment="1" applyProtection="1">
      <alignment vertical="center"/>
      <protection locked="0"/>
    </xf>
    <xf numFmtId="0" fontId="29" fillId="3" borderId="55" xfId="0" applyFont="1" applyFill="1" applyBorder="1"/>
    <xf numFmtId="0" fontId="29" fillId="3" borderId="35" xfId="0" applyFont="1" applyFill="1" applyBorder="1"/>
    <xf numFmtId="0" fontId="29" fillId="3" borderId="23" xfId="0" applyFont="1" applyFill="1" applyBorder="1"/>
    <xf numFmtId="0" fontId="29" fillId="3" borderId="60" xfId="0" applyFont="1" applyFill="1" applyBorder="1" applyAlignment="1" applyProtection="1">
      <alignment vertical="center" wrapText="1"/>
    </xf>
    <xf numFmtId="3" fontId="29" fillId="3" borderId="6" xfId="0" applyNumberFormat="1" applyFont="1" applyFill="1" applyBorder="1" applyAlignment="1" applyProtection="1">
      <alignment vertical="center"/>
      <protection locked="0"/>
    </xf>
    <xf numFmtId="0" fontId="29" fillId="3" borderId="44" xfId="0" applyFont="1" applyFill="1" applyBorder="1"/>
    <xf numFmtId="0" fontId="29" fillId="3" borderId="6" xfId="0" applyFont="1" applyFill="1" applyBorder="1"/>
    <xf numFmtId="0" fontId="29" fillId="3" borderId="48" xfId="0" applyFont="1" applyFill="1" applyBorder="1" applyAlignment="1" applyProtection="1">
      <alignment vertical="center" wrapText="1"/>
    </xf>
    <xf numFmtId="3" fontId="29" fillId="3" borderId="16" xfId="0" applyNumberFormat="1" applyFont="1" applyFill="1" applyBorder="1" applyAlignment="1" applyProtection="1">
      <alignment vertical="center"/>
      <protection locked="0"/>
    </xf>
    <xf numFmtId="3" fontId="29" fillId="3" borderId="47" xfId="0" applyNumberFormat="1" applyFont="1" applyFill="1" applyBorder="1" applyAlignment="1" applyProtection="1">
      <alignment vertical="center"/>
      <protection locked="0"/>
    </xf>
    <xf numFmtId="0" fontId="35" fillId="3" borderId="0" xfId="0" applyFont="1" applyFill="1"/>
    <xf numFmtId="0" fontId="36" fillId="3" borderId="38" xfId="0" applyFont="1" applyFill="1" applyBorder="1" applyAlignment="1" applyProtection="1">
      <alignment vertical="center" wrapText="1"/>
    </xf>
    <xf numFmtId="3" fontId="36" fillId="3" borderId="39" xfId="0" applyNumberFormat="1" applyFont="1" applyFill="1" applyBorder="1" applyAlignment="1" applyProtection="1">
      <alignment vertical="center"/>
    </xf>
    <xf numFmtId="3" fontId="36" fillId="3" borderId="40" xfId="0" applyNumberFormat="1" applyFont="1" applyFill="1" applyBorder="1" applyAlignment="1" applyProtection="1">
      <alignment vertical="center"/>
    </xf>
    <xf numFmtId="0" fontId="30" fillId="3" borderId="29" xfId="0" applyFont="1" applyFill="1" applyBorder="1" applyAlignment="1" applyProtection="1">
      <alignment vertical="center" wrapText="1"/>
    </xf>
    <xf numFmtId="3" fontId="30" fillId="3" borderId="30" xfId="0" applyNumberFormat="1" applyFont="1" applyFill="1" applyBorder="1" applyAlignment="1" applyProtection="1">
      <alignment vertical="center"/>
    </xf>
    <xf numFmtId="3" fontId="30" fillId="3" borderId="31" xfId="0" applyNumberFormat="1" applyFont="1" applyFill="1" applyBorder="1" applyAlignment="1" applyProtection="1">
      <alignment vertical="center"/>
    </xf>
    <xf numFmtId="0" fontId="30" fillId="3" borderId="56" xfId="0" applyFont="1" applyFill="1" applyBorder="1" applyAlignment="1" applyProtection="1">
      <alignment vertical="center" wrapText="1"/>
    </xf>
    <xf numFmtId="3" fontId="30" fillId="3" borderId="53" xfId="0" applyNumberFormat="1" applyFont="1" applyFill="1" applyBorder="1" applyAlignment="1" applyProtection="1">
      <alignment vertical="center"/>
    </xf>
    <xf numFmtId="3" fontId="29" fillId="3" borderId="3" xfId="0" applyNumberFormat="1" applyFont="1" applyFill="1" applyBorder="1" applyAlignment="1" applyProtection="1">
      <alignment vertical="center"/>
      <protection locked="0"/>
    </xf>
    <xf numFmtId="3" fontId="29" fillId="3" borderId="10" xfId="0" applyNumberFormat="1" applyFont="1" applyFill="1" applyBorder="1" applyAlignment="1" applyProtection="1">
      <alignment vertical="center"/>
      <protection locked="0"/>
    </xf>
    <xf numFmtId="0" fontId="29" fillId="3" borderId="41" xfId="0" applyFont="1" applyFill="1" applyBorder="1" applyAlignment="1" applyProtection="1">
      <alignment vertical="center" wrapText="1"/>
    </xf>
    <xf numFmtId="3" fontId="29" fillId="3" borderId="8" xfId="0" applyNumberFormat="1" applyFont="1" applyFill="1" applyBorder="1" applyAlignment="1" applyProtection="1">
      <alignment vertical="center"/>
      <protection locked="0"/>
    </xf>
    <xf numFmtId="3" fontId="29" fillId="3" borderId="42" xfId="0" applyNumberFormat="1" applyFont="1" applyFill="1" applyBorder="1" applyAlignment="1" applyProtection="1">
      <alignment vertical="center"/>
      <protection locked="0"/>
    </xf>
    <xf numFmtId="3" fontId="29" fillId="3" borderId="18" xfId="0" applyNumberFormat="1" applyFont="1" applyFill="1" applyBorder="1" applyAlignment="1" applyProtection="1">
      <alignment vertical="center"/>
      <protection locked="0"/>
    </xf>
    <xf numFmtId="3" fontId="29" fillId="3" borderId="17" xfId="0" applyNumberFormat="1" applyFont="1" applyFill="1" applyBorder="1" applyAlignment="1" applyProtection="1">
      <alignment vertical="center"/>
      <protection locked="0"/>
    </xf>
    <xf numFmtId="3" fontId="29" fillId="3" borderId="45" xfId="0" applyNumberFormat="1" applyFont="1" applyFill="1" applyBorder="1" applyAlignment="1" applyProtection="1">
      <alignment vertical="center"/>
      <protection locked="0"/>
    </xf>
    <xf numFmtId="3" fontId="29" fillId="3" borderId="12" xfId="0" applyNumberFormat="1" applyFont="1" applyFill="1" applyBorder="1" applyAlignment="1" applyProtection="1">
      <alignment vertical="center"/>
      <protection locked="0"/>
    </xf>
    <xf numFmtId="0" fontId="29" fillId="3" borderId="7" xfId="0" applyFont="1" applyFill="1" applyBorder="1"/>
    <xf numFmtId="0" fontId="30" fillId="3" borderId="19" xfId="0" applyFont="1" applyFill="1" applyBorder="1" applyAlignment="1" applyProtection="1">
      <alignment vertical="center" wrapText="1"/>
    </xf>
    <xf numFmtId="3" fontId="29" fillId="3" borderId="1" xfId="0" applyNumberFormat="1" applyFont="1" applyFill="1" applyBorder="1" applyAlignment="1" applyProtection="1">
      <alignment vertical="center"/>
      <protection locked="0"/>
    </xf>
    <xf numFmtId="3" fontId="29" fillId="3" borderId="20" xfId="0" applyNumberFormat="1" applyFont="1" applyFill="1" applyBorder="1" applyAlignment="1" applyProtection="1">
      <alignment vertical="center"/>
      <protection locked="0"/>
    </xf>
    <xf numFmtId="0" fontId="29" fillId="3" borderId="21" xfId="0" applyFont="1" applyFill="1" applyBorder="1"/>
    <xf numFmtId="0" fontId="30" fillId="3" borderId="13" xfId="0" applyFont="1" applyFill="1" applyBorder="1" applyAlignment="1" applyProtection="1">
      <alignment vertical="center" wrapText="1"/>
    </xf>
    <xf numFmtId="3" fontId="29" fillId="3" borderId="14" xfId="0" applyNumberFormat="1" applyFont="1" applyFill="1" applyBorder="1" applyAlignment="1" applyProtection="1">
      <alignment vertical="center"/>
      <protection locked="0"/>
    </xf>
    <xf numFmtId="3" fontId="29" fillId="3" borderId="22" xfId="0" applyNumberFormat="1" applyFont="1" applyFill="1" applyBorder="1" applyAlignment="1" applyProtection="1">
      <alignment vertical="center"/>
      <protection locked="0"/>
    </xf>
    <xf numFmtId="3" fontId="29" fillId="3" borderId="6" xfId="0" applyNumberFormat="1" applyFont="1" applyFill="1" applyBorder="1" applyAlignment="1">
      <alignment vertical="center"/>
    </xf>
    <xf numFmtId="3" fontId="29" fillId="3" borderId="23" xfId="0" applyNumberFormat="1" applyFont="1" applyFill="1" applyBorder="1" applyAlignment="1">
      <alignment vertical="center"/>
    </xf>
    <xf numFmtId="3" fontId="29" fillId="3" borderId="17" xfId="0" applyNumberFormat="1" applyFont="1" applyFill="1" applyBorder="1" applyAlignment="1">
      <alignment vertical="center"/>
    </xf>
    <xf numFmtId="0" fontId="29" fillId="3" borderId="24" xfId="0" applyFont="1" applyFill="1" applyBorder="1" applyAlignment="1" applyProtection="1">
      <alignment vertical="center" wrapText="1"/>
    </xf>
    <xf numFmtId="3" fontId="29" fillId="3" borderId="25" xfId="0" applyNumberFormat="1" applyFont="1" applyFill="1" applyBorder="1" applyAlignment="1" applyProtection="1">
      <alignment vertical="center"/>
      <protection locked="0"/>
    </xf>
    <xf numFmtId="3" fontId="29" fillId="3" borderId="26" xfId="0" applyNumberFormat="1" applyFont="1" applyFill="1" applyBorder="1" applyAlignment="1" applyProtection="1">
      <alignment vertical="center"/>
      <protection locked="0"/>
    </xf>
    <xf numFmtId="3" fontId="29" fillId="3" borderId="27" xfId="0" applyNumberFormat="1" applyFont="1" applyFill="1" applyBorder="1" applyAlignment="1" applyProtection="1">
      <alignment vertical="center"/>
      <protection locked="0"/>
    </xf>
    <xf numFmtId="3" fontId="29" fillId="3" borderId="28" xfId="0" applyNumberFormat="1" applyFont="1" applyFill="1" applyBorder="1" applyAlignment="1">
      <alignment vertical="center"/>
    </xf>
    <xf numFmtId="3" fontId="29" fillId="3" borderId="61" xfId="0" applyNumberFormat="1" applyFont="1" applyFill="1" applyBorder="1" applyAlignment="1">
      <alignment vertical="center"/>
    </xf>
    <xf numFmtId="3" fontId="29" fillId="3" borderId="25" xfId="0" applyNumberFormat="1" applyFont="1" applyFill="1" applyBorder="1" applyAlignment="1">
      <alignment vertical="center"/>
    </xf>
    <xf numFmtId="0" fontId="29" fillId="3" borderId="32" xfId="0" applyFont="1" applyFill="1" applyBorder="1" applyAlignment="1" applyProtection="1">
      <alignment vertical="center" wrapText="1"/>
    </xf>
    <xf numFmtId="3" fontId="30" fillId="3" borderId="17" xfId="0" applyNumberFormat="1" applyFont="1" applyFill="1" applyBorder="1" applyAlignment="1" applyProtection="1">
      <alignment vertical="center"/>
    </xf>
    <xf numFmtId="3" fontId="30" fillId="3" borderId="33" xfId="0" applyNumberFormat="1" applyFont="1" applyFill="1" applyBorder="1" applyAlignment="1" applyProtection="1">
      <alignment vertical="center"/>
    </xf>
    <xf numFmtId="3" fontId="30" fillId="3" borderId="34" xfId="0" applyNumberFormat="1" applyFont="1" applyFill="1" applyBorder="1" applyAlignment="1" applyProtection="1">
      <alignment vertical="center"/>
    </xf>
    <xf numFmtId="3" fontId="29" fillId="3" borderId="3" xfId="0" applyNumberFormat="1" applyFont="1" applyFill="1" applyBorder="1" applyAlignment="1" applyProtection="1">
      <alignment vertical="center"/>
    </xf>
    <xf numFmtId="3" fontId="29" fillId="3" borderId="4" xfId="0" applyNumberFormat="1" applyFont="1" applyFill="1" applyBorder="1" applyAlignment="1" applyProtection="1">
      <alignment vertical="center"/>
    </xf>
    <xf numFmtId="0" fontId="30" fillId="3" borderId="38" xfId="0" applyFont="1" applyFill="1" applyBorder="1" applyAlignment="1" applyProtection="1">
      <alignment vertical="center" wrapText="1"/>
    </xf>
    <xf numFmtId="10" fontId="29" fillId="3" borderId="54" xfId="0" applyNumberFormat="1" applyFont="1" applyFill="1" applyBorder="1" applyAlignment="1">
      <alignment horizontal="center" vertical="center"/>
    </xf>
    <xf numFmtId="10" fontId="29" fillId="3" borderId="14" xfId="0" applyNumberFormat="1" applyFont="1" applyFill="1" applyBorder="1" applyAlignment="1">
      <alignment horizontal="center" vertical="center"/>
    </xf>
    <xf numFmtId="3" fontId="29" fillId="3" borderId="53" xfId="0" applyNumberFormat="1" applyFont="1" applyFill="1" applyBorder="1" applyAlignment="1" applyProtection="1">
      <alignment vertical="center"/>
    </xf>
    <xf numFmtId="3" fontId="29" fillId="3" borderId="4" xfId="0" applyNumberFormat="1" applyFont="1" applyFill="1" applyBorder="1" applyAlignment="1" applyProtection="1">
      <alignment horizontal="right" vertical="center"/>
      <protection locked="0"/>
    </xf>
    <xf numFmtId="0" fontId="29" fillId="3" borderId="47" xfId="0" applyFont="1" applyFill="1" applyBorder="1"/>
    <xf numFmtId="10" fontId="29" fillId="3" borderId="63" xfId="0" applyNumberFormat="1" applyFont="1" applyFill="1" applyBorder="1" applyAlignment="1">
      <alignment horizontal="center" vertical="center"/>
    </xf>
    <xf numFmtId="10" fontId="29" fillId="3" borderId="1" xfId="0" applyNumberFormat="1" applyFont="1" applyFill="1" applyBorder="1" applyAlignment="1">
      <alignment horizontal="center" vertical="center"/>
    </xf>
    <xf numFmtId="3" fontId="30" fillId="3" borderId="1" xfId="0" applyNumberFormat="1" applyFont="1" applyFill="1" applyBorder="1" applyAlignment="1" applyProtection="1">
      <alignment horizontal="center" vertical="center"/>
    </xf>
    <xf numFmtId="10" fontId="30" fillId="3" borderId="1" xfId="0" applyNumberFormat="1" applyFont="1" applyFill="1" applyBorder="1" applyAlignment="1">
      <alignment horizontal="center" vertical="center"/>
    </xf>
    <xf numFmtId="0" fontId="30" fillId="3" borderId="43" xfId="0" applyFont="1" applyFill="1" applyBorder="1" applyAlignment="1" applyProtection="1">
      <alignment vertical="center" wrapText="1"/>
    </xf>
    <xf numFmtId="3" fontId="30" fillId="3" borderId="26" xfId="0" applyNumberFormat="1" applyFont="1" applyFill="1" applyBorder="1" applyAlignment="1" applyProtection="1">
      <alignment horizontal="center" vertical="center"/>
    </xf>
    <xf numFmtId="0" fontId="30" fillId="3" borderId="0" xfId="0" applyFont="1" applyFill="1"/>
    <xf numFmtId="0" fontId="37" fillId="3" borderId="0" xfId="0" applyFont="1" applyFill="1"/>
    <xf numFmtId="0" fontId="38" fillId="3" borderId="6" xfId="0" applyFont="1" applyFill="1" applyBorder="1" applyAlignment="1">
      <alignment vertical="center"/>
    </xf>
    <xf numFmtId="3" fontId="37" fillId="3" borderId="6" xfId="0" applyNumberFormat="1" applyFont="1" applyFill="1" applyBorder="1" applyAlignment="1">
      <alignment vertical="center"/>
    </xf>
    <xf numFmtId="0" fontId="37" fillId="3" borderId="0" xfId="0" applyFont="1" applyFill="1" applyAlignment="1">
      <alignment vertical="center"/>
    </xf>
    <xf numFmtId="0" fontId="39" fillId="3" borderId="0" xfId="0" applyFont="1" applyFill="1" applyBorder="1" applyAlignment="1" applyProtection="1">
      <alignment vertical="center" wrapText="1"/>
    </xf>
    <xf numFmtId="164" fontId="37" fillId="3" borderId="0" xfId="0" applyNumberFormat="1" applyFont="1" applyFill="1" applyBorder="1"/>
    <xf numFmtId="0" fontId="37" fillId="3" borderId="0" xfId="0" applyFont="1" applyFill="1" applyBorder="1"/>
    <xf numFmtId="10" fontId="37" fillId="3" borderId="0" xfId="0" applyNumberFormat="1" applyFont="1" applyFill="1" applyBorder="1"/>
    <xf numFmtId="0" fontId="35" fillId="3" borderId="0" xfId="0" applyFont="1" applyFill="1" applyBorder="1"/>
    <xf numFmtId="0" fontId="37" fillId="3" borderId="0" xfId="0" applyFont="1" applyFill="1" applyBorder="1" applyAlignment="1">
      <alignment horizontal="right"/>
    </xf>
    <xf numFmtId="3" fontId="37" fillId="3" borderId="0" xfId="0" applyNumberFormat="1" applyFont="1" applyFill="1" applyBorder="1"/>
  </cellXfs>
  <cellStyles count="4">
    <cellStyle name="Normalny" xfId="0" builtinId="0"/>
    <cellStyle name="Normalny 2" xfId="1"/>
    <cellStyle name="Normalny 3" xfId="3"/>
    <cellStyle name="Normalny_Zał  Nr 1 (8)" xfId="2"/>
  </cellStyles>
  <dxfs count="0"/>
  <tableStyles count="0" defaultTableStyle="TableStyleMedium9" defaultPivotStyle="PivotStyleLight16"/>
  <colors>
    <mruColors>
      <color rgb="FF00FF00"/>
      <color rgb="FF0033CC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.golon/Moje%20dokumenty/ROK/Rok%202013/Projekt%20wpf%202013/Symulacje/31.10/Za&#322;acznik%20Nr%202.pazdz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.golon/Moje%20dokumenty/ROK/Rok%202013/Projekt%20wpf%202013/Za&#322;acznik%20Nr%202_26.1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ne"/>
      <sheetName val="kwota długu"/>
      <sheetName val="Raty spłat"/>
    </sheetNames>
    <sheetDataSet>
      <sheetData sheetId="0" refreshError="1"/>
      <sheetData sheetId="1">
        <row r="11">
          <cell r="I11">
            <v>441181508</v>
          </cell>
        </row>
        <row r="13">
          <cell r="I13">
            <v>3000000</v>
          </cell>
          <cell r="J13">
            <v>3000000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Arkusz1"/>
      <sheetName val="kwota długu"/>
      <sheetName val="Raty spłat"/>
      <sheetName val="Arkusz2"/>
    </sheetNames>
    <sheetDataSet>
      <sheetData sheetId="0"/>
      <sheetData sheetId="1">
        <row r="12">
          <cell r="G12">
            <v>670338984</v>
          </cell>
        </row>
        <row r="13"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</row>
      </sheetData>
      <sheetData sheetId="2">
        <row r="18">
          <cell r="Y18">
            <v>20521000</v>
          </cell>
        </row>
      </sheetData>
      <sheetData sheetId="3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61"/>
  <sheetViews>
    <sheetView topLeftCell="A5" workbookViewId="0">
      <pane xSplit="5" ySplit="1" topLeftCell="H6" activePane="bottomRight" state="frozenSplit"/>
      <selection activeCell="A5" sqref="A5"/>
      <selection pane="topRight" activeCell="I5" sqref="I5"/>
      <selection pane="bottomLeft" activeCell="A8" sqref="A8"/>
      <selection pane="bottomRight" activeCell="K35" activeCellId="3" sqref="K30 K32 K34 K35"/>
    </sheetView>
  </sheetViews>
  <sheetFormatPr defaultRowHeight="12.75"/>
  <cols>
    <col min="1" max="4" width="1.5703125" style="179" customWidth="1"/>
    <col min="5" max="5" width="51.85546875" style="179" customWidth="1"/>
    <col min="6" max="6" width="15.140625" style="91" customWidth="1"/>
    <col min="7" max="7" width="14.140625" style="91" customWidth="1"/>
    <col min="8" max="8" width="13.5703125" style="91" customWidth="1"/>
    <col min="9" max="9" width="12.5703125" style="91" customWidth="1"/>
    <col min="10" max="10" width="13.140625" style="91" customWidth="1"/>
    <col min="11" max="11" width="12.42578125" style="91" customWidth="1"/>
    <col min="12" max="12" width="12.5703125" style="91" customWidth="1"/>
    <col min="13" max="13" width="12.28515625" style="91" customWidth="1"/>
    <col min="14" max="14" width="14" style="91" customWidth="1"/>
    <col min="15" max="15" width="11.140625" style="91" customWidth="1"/>
    <col min="16" max="16" width="12.7109375" style="91" customWidth="1"/>
    <col min="17" max="17" width="11.85546875" style="91" customWidth="1"/>
    <col min="18" max="18" width="12" style="91" customWidth="1"/>
    <col min="19" max="19" width="12.5703125" style="91" customWidth="1"/>
    <col min="20" max="20" width="12.140625" style="91" customWidth="1"/>
    <col min="21" max="21" width="12" style="91" customWidth="1"/>
    <col min="22" max="22" width="12.42578125" style="91" customWidth="1"/>
    <col min="23" max="23" width="12.28515625" style="91" customWidth="1"/>
    <col min="24" max="24" width="11.7109375" style="91" customWidth="1"/>
    <col min="25" max="25" width="12" style="91" customWidth="1"/>
    <col min="26" max="28" width="9.140625" style="91"/>
    <col min="29" max="29" width="9.28515625" style="91" bestFit="1" customWidth="1"/>
    <col min="30" max="30" width="10.7109375" style="91" bestFit="1" customWidth="1"/>
    <col min="31" max="256" width="9.140625" style="91"/>
    <col min="257" max="260" width="1.5703125" style="91" customWidth="1"/>
    <col min="261" max="261" width="51.85546875" style="91" customWidth="1"/>
    <col min="262" max="262" width="15.140625" style="91" customWidth="1"/>
    <col min="263" max="263" width="14.140625" style="91" customWidth="1"/>
    <col min="264" max="264" width="13.85546875" style="91" customWidth="1"/>
    <col min="265" max="281" width="0" style="91" hidden="1" customWidth="1"/>
    <col min="282" max="512" width="9.140625" style="91"/>
    <col min="513" max="516" width="1.5703125" style="91" customWidth="1"/>
    <col min="517" max="517" width="51.85546875" style="91" customWidth="1"/>
    <col min="518" max="518" width="15.140625" style="91" customWidth="1"/>
    <col min="519" max="519" width="14.140625" style="91" customWidth="1"/>
    <col min="520" max="520" width="13.85546875" style="91" customWidth="1"/>
    <col min="521" max="537" width="0" style="91" hidden="1" customWidth="1"/>
    <col min="538" max="768" width="9.140625" style="91"/>
    <col min="769" max="772" width="1.5703125" style="91" customWidth="1"/>
    <col min="773" max="773" width="51.85546875" style="91" customWidth="1"/>
    <col min="774" max="774" width="15.140625" style="91" customWidth="1"/>
    <col min="775" max="775" width="14.140625" style="91" customWidth="1"/>
    <col min="776" max="776" width="13.85546875" style="91" customWidth="1"/>
    <col min="777" max="793" width="0" style="91" hidden="1" customWidth="1"/>
    <col min="794" max="1024" width="9.140625" style="91"/>
    <col min="1025" max="1028" width="1.5703125" style="91" customWidth="1"/>
    <col min="1029" max="1029" width="51.85546875" style="91" customWidth="1"/>
    <col min="1030" max="1030" width="15.140625" style="91" customWidth="1"/>
    <col min="1031" max="1031" width="14.140625" style="91" customWidth="1"/>
    <col min="1032" max="1032" width="13.85546875" style="91" customWidth="1"/>
    <col min="1033" max="1049" width="0" style="91" hidden="1" customWidth="1"/>
    <col min="1050" max="1280" width="9.140625" style="91"/>
    <col min="1281" max="1284" width="1.5703125" style="91" customWidth="1"/>
    <col min="1285" max="1285" width="51.85546875" style="91" customWidth="1"/>
    <col min="1286" max="1286" width="15.140625" style="91" customWidth="1"/>
    <col min="1287" max="1287" width="14.140625" style="91" customWidth="1"/>
    <col min="1288" max="1288" width="13.85546875" style="91" customWidth="1"/>
    <col min="1289" max="1305" width="0" style="91" hidden="1" customWidth="1"/>
    <col min="1306" max="1536" width="9.140625" style="91"/>
    <col min="1537" max="1540" width="1.5703125" style="91" customWidth="1"/>
    <col min="1541" max="1541" width="51.85546875" style="91" customWidth="1"/>
    <col min="1542" max="1542" width="15.140625" style="91" customWidth="1"/>
    <col min="1543" max="1543" width="14.140625" style="91" customWidth="1"/>
    <col min="1544" max="1544" width="13.85546875" style="91" customWidth="1"/>
    <col min="1545" max="1561" width="0" style="91" hidden="1" customWidth="1"/>
    <col min="1562" max="1792" width="9.140625" style="91"/>
    <col min="1793" max="1796" width="1.5703125" style="91" customWidth="1"/>
    <col min="1797" max="1797" width="51.85546875" style="91" customWidth="1"/>
    <col min="1798" max="1798" width="15.140625" style="91" customWidth="1"/>
    <col min="1799" max="1799" width="14.140625" style="91" customWidth="1"/>
    <col min="1800" max="1800" width="13.85546875" style="91" customWidth="1"/>
    <col min="1801" max="1817" width="0" style="91" hidden="1" customWidth="1"/>
    <col min="1818" max="2048" width="9.140625" style="91"/>
    <col min="2049" max="2052" width="1.5703125" style="91" customWidth="1"/>
    <col min="2053" max="2053" width="51.85546875" style="91" customWidth="1"/>
    <col min="2054" max="2054" width="15.140625" style="91" customWidth="1"/>
    <col min="2055" max="2055" width="14.140625" style="91" customWidth="1"/>
    <col min="2056" max="2056" width="13.85546875" style="91" customWidth="1"/>
    <col min="2057" max="2073" width="0" style="91" hidden="1" customWidth="1"/>
    <col min="2074" max="2304" width="9.140625" style="91"/>
    <col min="2305" max="2308" width="1.5703125" style="91" customWidth="1"/>
    <col min="2309" max="2309" width="51.85546875" style="91" customWidth="1"/>
    <col min="2310" max="2310" width="15.140625" style="91" customWidth="1"/>
    <col min="2311" max="2311" width="14.140625" style="91" customWidth="1"/>
    <col min="2312" max="2312" width="13.85546875" style="91" customWidth="1"/>
    <col min="2313" max="2329" width="0" style="91" hidden="1" customWidth="1"/>
    <col min="2330" max="2560" width="9.140625" style="91"/>
    <col min="2561" max="2564" width="1.5703125" style="91" customWidth="1"/>
    <col min="2565" max="2565" width="51.85546875" style="91" customWidth="1"/>
    <col min="2566" max="2566" width="15.140625" style="91" customWidth="1"/>
    <col min="2567" max="2567" width="14.140625" style="91" customWidth="1"/>
    <col min="2568" max="2568" width="13.85546875" style="91" customWidth="1"/>
    <col min="2569" max="2585" width="0" style="91" hidden="1" customWidth="1"/>
    <col min="2586" max="2816" width="9.140625" style="91"/>
    <col min="2817" max="2820" width="1.5703125" style="91" customWidth="1"/>
    <col min="2821" max="2821" width="51.85546875" style="91" customWidth="1"/>
    <col min="2822" max="2822" width="15.140625" style="91" customWidth="1"/>
    <col min="2823" max="2823" width="14.140625" style="91" customWidth="1"/>
    <col min="2824" max="2824" width="13.85546875" style="91" customWidth="1"/>
    <col min="2825" max="2841" width="0" style="91" hidden="1" customWidth="1"/>
    <col min="2842" max="3072" width="9.140625" style="91"/>
    <col min="3073" max="3076" width="1.5703125" style="91" customWidth="1"/>
    <col min="3077" max="3077" width="51.85546875" style="91" customWidth="1"/>
    <col min="3078" max="3078" width="15.140625" style="91" customWidth="1"/>
    <col min="3079" max="3079" width="14.140625" style="91" customWidth="1"/>
    <col min="3080" max="3080" width="13.85546875" style="91" customWidth="1"/>
    <col min="3081" max="3097" width="0" style="91" hidden="1" customWidth="1"/>
    <col min="3098" max="3328" width="9.140625" style="91"/>
    <col min="3329" max="3332" width="1.5703125" style="91" customWidth="1"/>
    <col min="3333" max="3333" width="51.85546875" style="91" customWidth="1"/>
    <col min="3334" max="3334" width="15.140625" style="91" customWidth="1"/>
    <col min="3335" max="3335" width="14.140625" style="91" customWidth="1"/>
    <col min="3336" max="3336" width="13.85546875" style="91" customWidth="1"/>
    <col min="3337" max="3353" width="0" style="91" hidden="1" customWidth="1"/>
    <col min="3354" max="3584" width="9.140625" style="91"/>
    <col min="3585" max="3588" width="1.5703125" style="91" customWidth="1"/>
    <col min="3589" max="3589" width="51.85546875" style="91" customWidth="1"/>
    <col min="3590" max="3590" width="15.140625" style="91" customWidth="1"/>
    <col min="3591" max="3591" width="14.140625" style="91" customWidth="1"/>
    <col min="3592" max="3592" width="13.85546875" style="91" customWidth="1"/>
    <col min="3593" max="3609" width="0" style="91" hidden="1" customWidth="1"/>
    <col min="3610" max="3840" width="9.140625" style="91"/>
    <col min="3841" max="3844" width="1.5703125" style="91" customWidth="1"/>
    <col min="3845" max="3845" width="51.85546875" style="91" customWidth="1"/>
    <col min="3846" max="3846" width="15.140625" style="91" customWidth="1"/>
    <col min="3847" max="3847" width="14.140625" style="91" customWidth="1"/>
    <col min="3848" max="3848" width="13.85546875" style="91" customWidth="1"/>
    <col min="3849" max="3865" width="0" style="91" hidden="1" customWidth="1"/>
    <col min="3866" max="4096" width="9.140625" style="91"/>
    <col min="4097" max="4100" width="1.5703125" style="91" customWidth="1"/>
    <col min="4101" max="4101" width="51.85546875" style="91" customWidth="1"/>
    <col min="4102" max="4102" width="15.140625" style="91" customWidth="1"/>
    <col min="4103" max="4103" width="14.140625" style="91" customWidth="1"/>
    <col min="4104" max="4104" width="13.85546875" style="91" customWidth="1"/>
    <col min="4105" max="4121" width="0" style="91" hidden="1" customWidth="1"/>
    <col min="4122" max="4352" width="9.140625" style="91"/>
    <col min="4353" max="4356" width="1.5703125" style="91" customWidth="1"/>
    <col min="4357" max="4357" width="51.85546875" style="91" customWidth="1"/>
    <col min="4358" max="4358" width="15.140625" style="91" customWidth="1"/>
    <col min="4359" max="4359" width="14.140625" style="91" customWidth="1"/>
    <col min="4360" max="4360" width="13.85546875" style="91" customWidth="1"/>
    <col min="4361" max="4377" width="0" style="91" hidden="1" customWidth="1"/>
    <col min="4378" max="4608" width="9.140625" style="91"/>
    <col min="4609" max="4612" width="1.5703125" style="91" customWidth="1"/>
    <col min="4613" max="4613" width="51.85546875" style="91" customWidth="1"/>
    <col min="4614" max="4614" width="15.140625" style="91" customWidth="1"/>
    <col min="4615" max="4615" width="14.140625" style="91" customWidth="1"/>
    <col min="4616" max="4616" width="13.85546875" style="91" customWidth="1"/>
    <col min="4617" max="4633" width="0" style="91" hidden="1" customWidth="1"/>
    <col min="4634" max="4864" width="9.140625" style="91"/>
    <col min="4865" max="4868" width="1.5703125" style="91" customWidth="1"/>
    <col min="4869" max="4869" width="51.85546875" style="91" customWidth="1"/>
    <col min="4870" max="4870" width="15.140625" style="91" customWidth="1"/>
    <col min="4871" max="4871" width="14.140625" style="91" customWidth="1"/>
    <col min="4872" max="4872" width="13.85546875" style="91" customWidth="1"/>
    <col min="4873" max="4889" width="0" style="91" hidden="1" customWidth="1"/>
    <col min="4890" max="5120" width="9.140625" style="91"/>
    <col min="5121" max="5124" width="1.5703125" style="91" customWidth="1"/>
    <col min="5125" max="5125" width="51.85546875" style="91" customWidth="1"/>
    <col min="5126" max="5126" width="15.140625" style="91" customWidth="1"/>
    <col min="5127" max="5127" width="14.140625" style="91" customWidth="1"/>
    <col min="5128" max="5128" width="13.85546875" style="91" customWidth="1"/>
    <col min="5129" max="5145" width="0" style="91" hidden="1" customWidth="1"/>
    <col min="5146" max="5376" width="9.140625" style="91"/>
    <col min="5377" max="5380" width="1.5703125" style="91" customWidth="1"/>
    <col min="5381" max="5381" width="51.85546875" style="91" customWidth="1"/>
    <col min="5382" max="5382" width="15.140625" style="91" customWidth="1"/>
    <col min="5383" max="5383" width="14.140625" style="91" customWidth="1"/>
    <col min="5384" max="5384" width="13.85546875" style="91" customWidth="1"/>
    <col min="5385" max="5401" width="0" style="91" hidden="1" customWidth="1"/>
    <col min="5402" max="5632" width="9.140625" style="91"/>
    <col min="5633" max="5636" width="1.5703125" style="91" customWidth="1"/>
    <col min="5637" max="5637" width="51.85546875" style="91" customWidth="1"/>
    <col min="5638" max="5638" width="15.140625" style="91" customWidth="1"/>
    <col min="5639" max="5639" width="14.140625" style="91" customWidth="1"/>
    <col min="5640" max="5640" width="13.85546875" style="91" customWidth="1"/>
    <col min="5641" max="5657" width="0" style="91" hidden="1" customWidth="1"/>
    <col min="5658" max="5888" width="9.140625" style="91"/>
    <col min="5889" max="5892" width="1.5703125" style="91" customWidth="1"/>
    <col min="5893" max="5893" width="51.85546875" style="91" customWidth="1"/>
    <col min="5894" max="5894" width="15.140625" style="91" customWidth="1"/>
    <col min="5895" max="5895" width="14.140625" style="91" customWidth="1"/>
    <col min="5896" max="5896" width="13.85546875" style="91" customWidth="1"/>
    <col min="5897" max="5913" width="0" style="91" hidden="1" customWidth="1"/>
    <col min="5914" max="6144" width="9.140625" style="91"/>
    <col min="6145" max="6148" width="1.5703125" style="91" customWidth="1"/>
    <col min="6149" max="6149" width="51.85546875" style="91" customWidth="1"/>
    <col min="6150" max="6150" width="15.140625" style="91" customWidth="1"/>
    <col min="6151" max="6151" width="14.140625" style="91" customWidth="1"/>
    <col min="6152" max="6152" width="13.85546875" style="91" customWidth="1"/>
    <col min="6153" max="6169" width="0" style="91" hidden="1" customWidth="1"/>
    <col min="6170" max="6400" width="9.140625" style="91"/>
    <col min="6401" max="6404" width="1.5703125" style="91" customWidth="1"/>
    <col min="6405" max="6405" width="51.85546875" style="91" customWidth="1"/>
    <col min="6406" max="6406" width="15.140625" style="91" customWidth="1"/>
    <col min="6407" max="6407" width="14.140625" style="91" customWidth="1"/>
    <col min="6408" max="6408" width="13.85546875" style="91" customWidth="1"/>
    <col min="6409" max="6425" width="0" style="91" hidden="1" customWidth="1"/>
    <col min="6426" max="6656" width="9.140625" style="91"/>
    <col min="6657" max="6660" width="1.5703125" style="91" customWidth="1"/>
    <col min="6661" max="6661" width="51.85546875" style="91" customWidth="1"/>
    <col min="6662" max="6662" width="15.140625" style="91" customWidth="1"/>
    <col min="6663" max="6663" width="14.140625" style="91" customWidth="1"/>
    <col min="6664" max="6664" width="13.85546875" style="91" customWidth="1"/>
    <col min="6665" max="6681" width="0" style="91" hidden="1" customWidth="1"/>
    <col min="6682" max="6912" width="9.140625" style="91"/>
    <col min="6913" max="6916" width="1.5703125" style="91" customWidth="1"/>
    <col min="6917" max="6917" width="51.85546875" style="91" customWidth="1"/>
    <col min="6918" max="6918" width="15.140625" style="91" customWidth="1"/>
    <col min="6919" max="6919" width="14.140625" style="91" customWidth="1"/>
    <col min="6920" max="6920" width="13.85546875" style="91" customWidth="1"/>
    <col min="6921" max="6937" width="0" style="91" hidden="1" customWidth="1"/>
    <col min="6938" max="7168" width="9.140625" style="91"/>
    <col min="7169" max="7172" width="1.5703125" style="91" customWidth="1"/>
    <col min="7173" max="7173" width="51.85546875" style="91" customWidth="1"/>
    <col min="7174" max="7174" width="15.140625" style="91" customWidth="1"/>
    <col min="7175" max="7175" width="14.140625" style="91" customWidth="1"/>
    <col min="7176" max="7176" width="13.85546875" style="91" customWidth="1"/>
    <col min="7177" max="7193" width="0" style="91" hidden="1" customWidth="1"/>
    <col min="7194" max="7424" width="9.140625" style="91"/>
    <col min="7425" max="7428" width="1.5703125" style="91" customWidth="1"/>
    <col min="7429" max="7429" width="51.85546875" style="91" customWidth="1"/>
    <col min="7430" max="7430" width="15.140625" style="91" customWidth="1"/>
    <col min="7431" max="7431" width="14.140625" style="91" customWidth="1"/>
    <col min="7432" max="7432" width="13.85546875" style="91" customWidth="1"/>
    <col min="7433" max="7449" width="0" style="91" hidden="1" customWidth="1"/>
    <col min="7450" max="7680" width="9.140625" style="91"/>
    <col min="7681" max="7684" width="1.5703125" style="91" customWidth="1"/>
    <col min="7685" max="7685" width="51.85546875" style="91" customWidth="1"/>
    <col min="7686" max="7686" width="15.140625" style="91" customWidth="1"/>
    <col min="7687" max="7687" width="14.140625" style="91" customWidth="1"/>
    <col min="7688" max="7688" width="13.85546875" style="91" customWidth="1"/>
    <col min="7689" max="7705" width="0" style="91" hidden="1" customWidth="1"/>
    <col min="7706" max="7936" width="9.140625" style="91"/>
    <col min="7937" max="7940" width="1.5703125" style="91" customWidth="1"/>
    <col min="7941" max="7941" width="51.85546875" style="91" customWidth="1"/>
    <col min="7942" max="7942" width="15.140625" style="91" customWidth="1"/>
    <col min="7943" max="7943" width="14.140625" style="91" customWidth="1"/>
    <col min="7944" max="7944" width="13.85546875" style="91" customWidth="1"/>
    <col min="7945" max="7961" width="0" style="91" hidden="1" customWidth="1"/>
    <col min="7962" max="8192" width="9.140625" style="91"/>
    <col min="8193" max="8196" width="1.5703125" style="91" customWidth="1"/>
    <col min="8197" max="8197" width="51.85546875" style="91" customWidth="1"/>
    <col min="8198" max="8198" width="15.140625" style="91" customWidth="1"/>
    <col min="8199" max="8199" width="14.140625" style="91" customWidth="1"/>
    <col min="8200" max="8200" width="13.85546875" style="91" customWidth="1"/>
    <col min="8201" max="8217" width="0" style="91" hidden="1" customWidth="1"/>
    <col min="8218" max="8448" width="9.140625" style="91"/>
    <col min="8449" max="8452" width="1.5703125" style="91" customWidth="1"/>
    <col min="8453" max="8453" width="51.85546875" style="91" customWidth="1"/>
    <col min="8454" max="8454" width="15.140625" style="91" customWidth="1"/>
    <col min="8455" max="8455" width="14.140625" style="91" customWidth="1"/>
    <col min="8456" max="8456" width="13.85546875" style="91" customWidth="1"/>
    <col min="8457" max="8473" width="0" style="91" hidden="1" customWidth="1"/>
    <col min="8474" max="8704" width="9.140625" style="91"/>
    <col min="8705" max="8708" width="1.5703125" style="91" customWidth="1"/>
    <col min="8709" max="8709" width="51.85546875" style="91" customWidth="1"/>
    <col min="8710" max="8710" width="15.140625" style="91" customWidth="1"/>
    <col min="8711" max="8711" width="14.140625" style="91" customWidth="1"/>
    <col min="8712" max="8712" width="13.85546875" style="91" customWidth="1"/>
    <col min="8713" max="8729" width="0" style="91" hidden="1" customWidth="1"/>
    <col min="8730" max="8960" width="9.140625" style="91"/>
    <col min="8961" max="8964" width="1.5703125" style="91" customWidth="1"/>
    <col min="8965" max="8965" width="51.85546875" style="91" customWidth="1"/>
    <col min="8966" max="8966" width="15.140625" style="91" customWidth="1"/>
    <col min="8967" max="8967" width="14.140625" style="91" customWidth="1"/>
    <col min="8968" max="8968" width="13.85546875" style="91" customWidth="1"/>
    <col min="8969" max="8985" width="0" style="91" hidden="1" customWidth="1"/>
    <col min="8986" max="9216" width="9.140625" style="91"/>
    <col min="9217" max="9220" width="1.5703125" style="91" customWidth="1"/>
    <col min="9221" max="9221" width="51.85546875" style="91" customWidth="1"/>
    <col min="9222" max="9222" width="15.140625" style="91" customWidth="1"/>
    <col min="9223" max="9223" width="14.140625" style="91" customWidth="1"/>
    <col min="9224" max="9224" width="13.85546875" style="91" customWidth="1"/>
    <col min="9225" max="9241" width="0" style="91" hidden="1" customWidth="1"/>
    <col min="9242" max="9472" width="9.140625" style="91"/>
    <col min="9473" max="9476" width="1.5703125" style="91" customWidth="1"/>
    <col min="9477" max="9477" width="51.85546875" style="91" customWidth="1"/>
    <col min="9478" max="9478" width="15.140625" style="91" customWidth="1"/>
    <col min="9479" max="9479" width="14.140625" style="91" customWidth="1"/>
    <col min="9480" max="9480" width="13.85546875" style="91" customWidth="1"/>
    <col min="9481" max="9497" width="0" style="91" hidden="1" customWidth="1"/>
    <col min="9498" max="9728" width="9.140625" style="91"/>
    <col min="9729" max="9732" width="1.5703125" style="91" customWidth="1"/>
    <col min="9733" max="9733" width="51.85546875" style="91" customWidth="1"/>
    <col min="9734" max="9734" width="15.140625" style="91" customWidth="1"/>
    <col min="9735" max="9735" width="14.140625" style="91" customWidth="1"/>
    <col min="9736" max="9736" width="13.85546875" style="91" customWidth="1"/>
    <col min="9737" max="9753" width="0" style="91" hidden="1" customWidth="1"/>
    <col min="9754" max="9984" width="9.140625" style="91"/>
    <col min="9985" max="9988" width="1.5703125" style="91" customWidth="1"/>
    <col min="9989" max="9989" width="51.85546875" style="91" customWidth="1"/>
    <col min="9990" max="9990" width="15.140625" style="91" customWidth="1"/>
    <col min="9991" max="9991" width="14.140625" style="91" customWidth="1"/>
    <col min="9992" max="9992" width="13.85546875" style="91" customWidth="1"/>
    <col min="9993" max="10009" width="0" style="91" hidden="1" customWidth="1"/>
    <col min="10010" max="10240" width="9.140625" style="91"/>
    <col min="10241" max="10244" width="1.5703125" style="91" customWidth="1"/>
    <col min="10245" max="10245" width="51.85546875" style="91" customWidth="1"/>
    <col min="10246" max="10246" width="15.140625" style="91" customWidth="1"/>
    <col min="10247" max="10247" width="14.140625" style="91" customWidth="1"/>
    <col min="10248" max="10248" width="13.85546875" style="91" customWidth="1"/>
    <col min="10249" max="10265" width="0" style="91" hidden="1" customWidth="1"/>
    <col min="10266" max="10496" width="9.140625" style="91"/>
    <col min="10497" max="10500" width="1.5703125" style="91" customWidth="1"/>
    <col min="10501" max="10501" width="51.85546875" style="91" customWidth="1"/>
    <col min="10502" max="10502" width="15.140625" style="91" customWidth="1"/>
    <col min="10503" max="10503" width="14.140625" style="91" customWidth="1"/>
    <col min="10504" max="10504" width="13.85546875" style="91" customWidth="1"/>
    <col min="10505" max="10521" width="0" style="91" hidden="1" customWidth="1"/>
    <col min="10522" max="10752" width="9.140625" style="91"/>
    <col min="10753" max="10756" width="1.5703125" style="91" customWidth="1"/>
    <col min="10757" max="10757" width="51.85546875" style="91" customWidth="1"/>
    <col min="10758" max="10758" width="15.140625" style="91" customWidth="1"/>
    <col min="10759" max="10759" width="14.140625" style="91" customWidth="1"/>
    <col min="10760" max="10760" width="13.85546875" style="91" customWidth="1"/>
    <col min="10761" max="10777" width="0" style="91" hidden="1" customWidth="1"/>
    <col min="10778" max="11008" width="9.140625" style="91"/>
    <col min="11009" max="11012" width="1.5703125" style="91" customWidth="1"/>
    <col min="11013" max="11013" width="51.85546875" style="91" customWidth="1"/>
    <col min="11014" max="11014" width="15.140625" style="91" customWidth="1"/>
    <col min="11015" max="11015" width="14.140625" style="91" customWidth="1"/>
    <col min="11016" max="11016" width="13.85546875" style="91" customWidth="1"/>
    <col min="11017" max="11033" width="0" style="91" hidden="1" customWidth="1"/>
    <col min="11034" max="11264" width="9.140625" style="91"/>
    <col min="11265" max="11268" width="1.5703125" style="91" customWidth="1"/>
    <col min="11269" max="11269" width="51.85546875" style="91" customWidth="1"/>
    <col min="11270" max="11270" width="15.140625" style="91" customWidth="1"/>
    <col min="11271" max="11271" width="14.140625" style="91" customWidth="1"/>
    <col min="11272" max="11272" width="13.85546875" style="91" customWidth="1"/>
    <col min="11273" max="11289" width="0" style="91" hidden="1" customWidth="1"/>
    <col min="11290" max="11520" width="9.140625" style="91"/>
    <col min="11521" max="11524" width="1.5703125" style="91" customWidth="1"/>
    <col min="11525" max="11525" width="51.85546875" style="91" customWidth="1"/>
    <col min="11526" max="11526" width="15.140625" style="91" customWidth="1"/>
    <col min="11527" max="11527" width="14.140625" style="91" customWidth="1"/>
    <col min="11528" max="11528" width="13.85546875" style="91" customWidth="1"/>
    <col min="11529" max="11545" width="0" style="91" hidden="1" customWidth="1"/>
    <col min="11546" max="11776" width="9.140625" style="91"/>
    <col min="11777" max="11780" width="1.5703125" style="91" customWidth="1"/>
    <col min="11781" max="11781" width="51.85546875" style="91" customWidth="1"/>
    <col min="11782" max="11782" width="15.140625" style="91" customWidth="1"/>
    <col min="11783" max="11783" width="14.140625" style="91" customWidth="1"/>
    <col min="11784" max="11784" width="13.85546875" style="91" customWidth="1"/>
    <col min="11785" max="11801" width="0" style="91" hidden="1" customWidth="1"/>
    <col min="11802" max="12032" width="9.140625" style="91"/>
    <col min="12033" max="12036" width="1.5703125" style="91" customWidth="1"/>
    <col min="12037" max="12037" width="51.85546875" style="91" customWidth="1"/>
    <col min="12038" max="12038" width="15.140625" style="91" customWidth="1"/>
    <col min="12039" max="12039" width="14.140625" style="91" customWidth="1"/>
    <col min="12040" max="12040" width="13.85546875" style="91" customWidth="1"/>
    <col min="12041" max="12057" width="0" style="91" hidden="1" customWidth="1"/>
    <col min="12058" max="12288" width="9.140625" style="91"/>
    <col min="12289" max="12292" width="1.5703125" style="91" customWidth="1"/>
    <col min="12293" max="12293" width="51.85546875" style="91" customWidth="1"/>
    <col min="12294" max="12294" width="15.140625" style="91" customWidth="1"/>
    <col min="12295" max="12295" width="14.140625" style="91" customWidth="1"/>
    <col min="12296" max="12296" width="13.85546875" style="91" customWidth="1"/>
    <col min="12297" max="12313" width="0" style="91" hidden="1" customWidth="1"/>
    <col min="12314" max="12544" width="9.140625" style="91"/>
    <col min="12545" max="12548" width="1.5703125" style="91" customWidth="1"/>
    <col min="12549" max="12549" width="51.85546875" style="91" customWidth="1"/>
    <col min="12550" max="12550" width="15.140625" style="91" customWidth="1"/>
    <col min="12551" max="12551" width="14.140625" style="91" customWidth="1"/>
    <col min="12552" max="12552" width="13.85546875" style="91" customWidth="1"/>
    <col min="12553" max="12569" width="0" style="91" hidden="1" customWidth="1"/>
    <col min="12570" max="12800" width="9.140625" style="91"/>
    <col min="12801" max="12804" width="1.5703125" style="91" customWidth="1"/>
    <col min="12805" max="12805" width="51.85546875" style="91" customWidth="1"/>
    <col min="12806" max="12806" width="15.140625" style="91" customWidth="1"/>
    <col min="12807" max="12807" width="14.140625" style="91" customWidth="1"/>
    <col min="12808" max="12808" width="13.85546875" style="91" customWidth="1"/>
    <col min="12809" max="12825" width="0" style="91" hidden="1" customWidth="1"/>
    <col min="12826" max="13056" width="9.140625" style="91"/>
    <col min="13057" max="13060" width="1.5703125" style="91" customWidth="1"/>
    <col min="13061" max="13061" width="51.85546875" style="91" customWidth="1"/>
    <col min="13062" max="13062" width="15.140625" style="91" customWidth="1"/>
    <col min="13063" max="13063" width="14.140625" style="91" customWidth="1"/>
    <col min="13064" max="13064" width="13.85546875" style="91" customWidth="1"/>
    <col min="13065" max="13081" width="0" style="91" hidden="1" customWidth="1"/>
    <col min="13082" max="13312" width="9.140625" style="91"/>
    <col min="13313" max="13316" width="1.5703125" style="91" customWidth="1"/>
    <col min="13317" max="13317" width="51.85546875" style="91" customWidth="1"/>
    <col min="13318" max="13318" width="15.140625" style="91" customWidth="1"/>
    <col min="13319" max="13319" width="14.140625" style="91" customWidth="1"/>
    <col min="13320" max="13320" width="13.85546875" style="91" customWidth="1"/>
    <col min="13321" max="13337" width="0" style="91" hidden="1" customWidth="1"/>
    <col min="13338" max="13568" width="9.140625" style="91"/>
    <col min="13569" max="13572" width="1.5703125" style="91" customWidth="1"/>
    <col min="13573" max="13573" width="51.85546875" style="91" customWidth="1"/>
    <col min="13574" max="13574" width="15.140625" style="91" customWidth="1"/>
    <col min="13575" max="13575" width="14.140625" style="91" customWidth="1"/>
    <col min="13576" max="13576" width="13.85546875" style="91" customWidth="1"/>
    <col min="13577" max="13593" width="0" style="91" hidden="1" customWidth="1"/>
    <col min="13594" max="13824" width="9.140625" style="91"/>
    <col min="13825" max="13828" width="1.5703125" style="91" customWidth="1"/>
    <col min="13829" max="13829" width="51.85546875" style="91" customWidth="1"/>
    <col min="13830" max="13830" width="15.140625" style="91" customWidth="1"/>
    <col min="13831" max="13831" width="14.140625" style="91" customWidth="1"/>
    <col min="13832" max="13832" width="13.85546875" style="91" customWidth="1"/>
    <col min="13833" max="13849" width="0" style="91" hidden="1" customWidth="1"/>
    <col min="13850" max="14080" width="9.140625" style="91"/>
    <col min="14081" max="14084" width="1.5703125" style="91" customWidth="1"/>
    <col min="14085" max="14085" width="51.85546875" style="91" customWidth="1"/>
    <col min="14086" max="14086" width="15.140625" style="91" customWidth="1"/>
    <col min="14087" max="14087" width="14.140625" style="91" customWidth="1"/>
    <col min="14088" max="14088" width="13.85546875" style="91" customWidth="1"/>
    <col min="14089" max="14105" width="0" style="91" hidden="1" customWidth="1"/>
    <col min="14106" max="14336" width="9.140625" style="91"/>
    <col min="14337" max="14340" width="1.5703125" style="91" customWidth="1"/>
    <col min="14341" max="14341" width="51.85546875" style="91" customWidth="1"/>
    <col min="14342" max="14342" width="15.140625" style="91" customWidth="1"/>
    <col min="14343" max="14343" width="14.140625" style="91" customWidth="1"/>
    <col min="14344" max="14344" width="13.85546875" style="91" customWidth="1"/>
    <col min="14345" max="14361" width="0" style="91" hidden="1" customWidth="1"/>
    <col min="14362" max="14592" width="9.140625" style="91"/>
    <col min="14593" max="14596" width="1.5703125" style="91" customWidth="1"/>
    <col min="14597" max="14597" width="51.85546875" style="91" customWidth="1"/>
    <col min="14598" max="14598" width="15.140625" style="91" customWidth="1"/>
    <col min="14599" max="14599" width="14.140625" style="91" customWidth="1"/>
    <col min="14600" max="14600" width="13.85546875" style="91" customWidth="1"/>
    <col min="14601" max="14617" width="0" style="91" hidden="1" customWidth="1"/>
    <col min="14618" max="14848" width="9.140625" style="91"/>
    <col min="14849" max="14852" width="1.5703125" style="91" customWidth="1"/>
    <col min="14853" max="14853" width="51.85546875" style="91" customWidth="1"/>
    <col min="14854" max="14854" width="15.140625" style="91" customWidth="1"/>
    <col min="14855" max="14855" width="14.140625" style="91" customWidth="1"/>
    <col min="14856" max="14856" width="13.85546875" style="91" customWidth="1"/>
    <col min="14857" max="14873" width="0" style="91" hidden="1" customWidth="1"/>
    <col min="14874" max="15104" width="9.140625" style="91"/>
    <col min="15105" max="15108" width="1.5703125" style="91" customWidth="1"/>
    <col min="15109" max="15109" width="51.85546875" style="91" customWidth="1"/>
    <col min="15110" max="15110" width="15.140625" style="91" customWidth="1"/>
    <col min="15111" max="15111" width="14.140625" style="91" customWidth="1"/>
    <col min="15112" max="15112" width="13.85546875" style="91" customWidth="1"/>
    <col min="15113" max="15129" width="0" style="91" hidden="1" customWidth="1"/>
    <col min="15130" max="15360" width="9.140625" style="91"/>
    <col min="15361" max="15364" width="1.5703125" style="91" customWidth="1"/>
    <col min="15365" max="15365" width="51.85546875" style="91" customWidth="1"/>
    <col min="15366" max="15366" width="15.140625" style="91" customWidth="1"/>
    <col min="15367" max="15367" width="14.140625" style="91" customWidth="1"/>
    <col min="15368" max="15368" width="13.85546875" style="91" customWidth="1"/>
    <col min="15369" max="15385" width="0" style="91" hidden="1" customWidth="1"/>
    <col min="15386" max="15616" width="9.140625" style="91"/>
    <col min="15617" max="15620" width="1.5703125" style="91" customWidth="1"/>
    <col min="15621" max="15621" width="51.85546875" style="91" customWidth="1"/>
    <col min="15622" max="15622" width="15.140625" style="91" customWidth="1"/>
    <col min="15623" max="15623" width="14.140625" style="91" customWidth="1"/>
    <col min="15624" max="15624" width="13.85546875" style="91" customWidth="1"/>
    <col min="15625" max="15641" width="0" style="91" hidden="1" customWidth="1"/>
    <col min="15642" max="15872" width="9.140625" style="91"/>
    <col min="15873" max="15876" width="1.5703125" style="91" customWidth="1"/>
    <col min="15877" max="15877" width="51.85546875" style="91" customWidth="1"/>
    <col min="15878" max="15878" width="15.140625" style="91" customWidth="1"/>
    <col min="15879" max="15879" width="14.140625" style="91" customWidth="1"/>
    <col min="15880" max="15880" width="13.85546875" style="91" customWidth="1"/>
    <col min="15881" max="15897" width="0" style="91" hidden="1" customWidth="1"/>
    <col min="15898" max="16128" width="9.140625" style="91"/>
    <col min="16129" max="16132" width="1.5703125" style="91" customWidth="1"/>
    <col min="16133" max="16133" width="51.85546875" style="91" customWidth="1"/>
    <col min="16134" max="16134" width="15.140625" style="91" customWidth="1"/>
    <col min="16135" max="16135" width="14.140625" style="91" customWidth="1"/>
    <col min="16136" max="16136" width="13.85546875" style="91" customWidth="1"/>
    <col min="16137" max="16153" width="0" style="91" hidden="1" customWidth="1"/>
    <col min="16154" max="16384" width="9.140625" style="91"/>
  </cols>
  <sheetData>
    <row r="1" spans="1:30" s="81" customFormat="1">
      <c r="A1" s="77"/>
      <c r="B1" s="78"/>
      <c r="C1" s="78"/>
      <c r="D1" s="78"/>
      <c r="E1" s="79" t="s">
        <v>126</v>
      </c>
      <c r="F1" s="80">
        <v>1.0429999999999999</v>
      </c>
      <c r="G1" s="80">
        <v>1.0249999999999999</v>
      </c>
      <c r="H1" s="80">
        <v>1.0289999999999999</v>
      </c>
      <c r="I1" s="80">
        <v>1.032</v>
      </c>
      <c r="J1" s="80">
        <v>1.038</v>
      </c>
      <c r="K1" s="80">
        <v>1.0369999999999999</v>
      </c>
      <c r="L1" s="80">
        <v>1.038</v>
      </c>
      <c r="M1" s="80">
        <v>1.0369999999999999</v>
      </c>
      <c r="N1" s="80">
        <v>1.034</v>
      </c>
      <c r="O1" s="80">
        <v>1.0329999999999999</v>
      </c>
      <c r="P1" s="80">
        <v>1.032</v>
      </c>
      <c r="Q1" s="80">
        <v>1.0309999999999999</v>
      </c>
      <c r="R1" s="80">
        <v>1.03</v>
      </c>
      <c r="S1" s="80">
        <v>1.0289999999999999</v>
      </c>
      <c r="T1" s="80">
        <v>1.028</v>
      </c>
      <c r="U1" s="80">
        <v>1.028</v>
      </c>
      <c r="V1" s="80">
        <v>1.028</v>
      </c>
      <c r="W1" s="80">
        <v>1.0269999999999999</v>
      </c>
      <c r="X1" s="80">
        <v>1.0269999999999999</v>
      </c>
      <c r="Y1" s="80">
        <v>1.0269999999999999</v>
      </c>
    </row>
    <row r="2" spans="1:30" s="88" customFormat="1">
      <c r="A2" s="82"/>
      <c r="B2" s="83"/>
      <c r="C2" s="83"/>
      <c r="D2" s="83"/>
      <c r="E2" s="84" t="s">
        <v>127</v>
      </c>
      <c r="F2" s="85"/>
      <c r="G2" s="86">
        <f>G1-F1</f>
        <v>-1.8000000000000016E-2</v>
      </c>
      <c r="H2" s="87">
        <f>H1-G1</f>
        <v>4.0000000000000036E-3</v>
      </c>
      <c r="I2" s="87">
        <f>I1-H1</f>
        <v>3.0000000000001137E-3</v>
      </c>
      <c r="J2" s="87">
        <f t="shared" ref="J2:Y2" si="0">J1-I1</f>
        <v>6.0000000000000053E-3</v>
      </c>
      <c r="K2" s="87">
        <f t="shared" si="0"/>
        <v>-1.0000000000001119E-3</v>
      </c>
      <c r="L2" s="87">
        <f t="shared" si="0"/>
        <v>1.0000000000001119E-3</v>
      </c>
      <c r="M2" s="87">
        <f t="shared" si="0"/>
        <v>-1.0000000000001119E-3</v>
      </c>
      <c r="N2" s="87">
        <f t="shared" si="0"/>
        <v>-2.9999999999998916E-3</v>
      </c>
      <c r="O2" s="87">
        <f t="shared" si="0"/>
        <v>-1.0000000000001119E-3</v>
      </c>
      <c r="P2" s="87">
        <f t="shared" si="0"/>
        <v>-9.9999999999988987E-4</v>
      </c>
      <c r="Q2" s="87">
        <f t="shared" si="0"/>
        <v>-1.0000000000001119E-3</v>
      </c>
      <c r="R2" s="87">
        <f t="shared" si="0"/>
        <v>-9.9999999999988987E-4</v>
      </c>
      <c r="S2" s="87">
        <f t="shared" si="0"/>
        <v>-1.0000000000001119E-3</v>
      </c>
      <c r="T2" s="87">
        <f t="shared" si="0"/>
        <v>-9.9999999999988987E-4</v>
      </c>
      <c r="U2" s="87">
        <f t="shared" si="0"/>
        <v>0</v>
      </c>
      <c r="V2" s="87">
        <f t="shared" si="0"/>
        <v>0</v>
      </c>
      <c r="W2" s="87">
        <f t="shared" si="0"/>
        <v>-1.0000000000001119E-3</v>
      </c>
      <c r="X2" s="87">
        <f>X1-W1</f>
        <v>0</v>
      </c>
      <c r="Y2" s="87">
        <f t="shared" si="0"/>
        <v>0</v>
      </c>
    </row>
    <row r="3" spans="1:30" s="90" customFormat="1">
      <c r="A3" s="89"/>
      <c r="B3" s="89"/>
      <c r="C3" s="89"/>
      <c r="D3" s="89"/>
      <c r="E3" s="89"/>
      <c r="G3" s="91"/>
    </row>
    <row r="4" spans="1:30" s="93" customFormat="1">
      <c r="A4" s="190" t="s">
        <v>47</v>
      </c>
      <c r="B4" s="190"/>
      <c r="C4" s="190"/>
      <c r="D4" s="190"/>
      <c r="E4" s="190"/>
      <c r="F4" s="191" t="s">
        <v>128</v>
      </c>
      <c r="G4" s="191"/>
      <c r="H4" s="191"/>
      <c r="I4" s="191"/>
      <c r="J4" s="191"/>
      <c r="K4" s="191"/>
      <c r="L4" s="191"/>
      <c r="M4" s="192" t="s">
        <v>128</v>
      </c>
      <c r="N4" s="192"/>
      <c r="O4" s="192"/>
      <c r="P4" s="192"/>
      <c r="Q4" s="192"/>
      <c r="R4" s="192"/>
      <c r="S4" s="192"/>
      <c r="T4" s="192"/>
      <c r="U4" s="192" t="s">
        <v>128</v>
      </c>
      <c r="V4" s="192"/>
      <c r="W4" s="192"/>
      <c r="X4" s="192"/>
      <c r="Y4" s="193"/>
      <c r="Z4" s="92"/>
      <c r="AB4" s="91"/>
    </row>
    <row r="5" spans="1:30" s="97" customFormat="1" ht="25.5">
      <c r="A5" s="190"/>
      <c r="B5" s="190"/>
      <c r="C5" s="190"/>
      <c r="D5" s="190"/>
      <c r="E5" s="190"/>
      <c r="F5" s="94" t="s">
        <v>129</v>
      </c>
      <c r="G5" s="94" t="s">
        <v>130</v>
      </c>
      <c r="H5" s="95" t="s">
        <v>131</v>
      </c>
      <c r="I5" s="95" t="s">
        <v>132</v>
      </c>
      <c r="J5" s="95" t="s">
        <v>133</v>
      </c>
      <c r="K5" s="95" t="s">
        <v>134</v>
      </c>
      <c r="L5" s="95" t="s">
        <v>135</v>
      </c>
      <c r="M5" s="95" t="s">
        <v>136</v>
      </c>
      <c r="N5" s="95" t="s">
        <v>137</v>
      </c>
      <c r="O5" s="95" t="s">
        <v>138</v>
      </c>
      <c r="P5" s="95" t="s">
        <v>139</v>
      </c>
      <c r="Q5" s="95" t="s">
        <v>140</v>
      </c>
      <c r="R5" s="95" t="s">
        <v>141</v>
      </c>
      <c r="S5" s="95" t="s">
        <v>142</v>
      </c>
      <c r="T5" s="95" t="s">
        <v>143</v>
      </c>
      <c r="U5" s="95" t="s">
        <v>144</v>
      </c>
      <c r="V5" s="95" t="s">
        <v>145</v>
      </c>
      <c r="W5" s="95" t="s">
        <v>146</v>
      </c>
      <c r="X5" s="95" t="s">
        <v>147</v>
      </c>
      <c r="Y5" s="95" t="s">
        <v>148</v>
      </c>
      <c r="Z5" s="96"/>
      <c r="AB5" s="96"/>
    </row>
    <row r="6" spans="1:30" s="103" customFormat="1">
      <c r="A6" s="189" t="s">
        <v>149</v>
      </c>
      <c r="B6" s="189"/>
      <c r="C6" s="189"/>
      <c r="D6" s="189"/>
      <c r="E6" s="189"/>
      <c r="F6" s="98">
        <f t="shared" ref="F6:Y6" si="1">F7+F15</f>
        <v>557864978</v>
      </c>
      <c r="G6" s="98">
        <f t="shared" si="1"/>
        <v>725509973</v>
      </c>
      <c r="H6" s="98">
        <f t="shared" si="1"/>
        <v>1155944662</v>
      </c>
      <c r="I6" s="98">
        <f t="shared" si="1"/>
        <v>992240721</v>
      </c>
      <c r="J6" s="98">
        <f t="shared" si="1"/>
        <v>796930447</v>
      </c>
      <c r="K6" s="98">
        <f t="shared" si="1"/>
        <v>561875766</v>
      </c>
      <c r="L6" s="98">
        <f t="shared" si="1"/>
        <v>395875755</v>
      </c>
      <c r="M6" s="98">
        <f t="shared" si="1"/>
        <v>409605692</v>
      </c>
      <c r="N6" s="98">
        <f t="shared" si="1"/>
        <v>423531860</v>
      </c>
      <c r="O6" s="98">
        <f t="shared" si="1"/>
        <v>437560871</v>
      </c>
      <c r="P6" s="98">
        <f t="shared" si="1"/>
        <v>451358149</v>
      </c>
      <c r="Q6" s="98">
        <f t="shared" si="1"/>
        <v>465234106</v>
      </c>
      <c r="R6" s="98">
        <f t="shared" si="1"/>
        <v>477279409</v>
      </c>
      <c r="S6" s="98">
        <f t="shared" si="1"/>
        <v>491579101</v>
      </c>
      <c r="T6" s="98">
        <f t="shared" si="1"/>
        <v>506230714</v>
      </c>
      <c r="U6" s="98">
        <f t="shared" si="1"/>
        <v>520933899</v>
      </c>
      <c r="V6" s="98">
        <f t="shared" si="1"/>
        <v>536050786</v>
      </c>
      <c r="W6" s="98">
        <f t="shared" si="1"/>
        <v>551608378</v>
      </c>
      <c r="X6" s="98" t="e">
        <f t="shared" si="1"/>
        <v>#REF!</v>
      </c>
      <c r="Y6" s="98" t="e">
        <f t="shared" si="1"/>
        <v>#REF!</v>
      </c>
      <c r="Z6" s="99"/>
      <c r="AA6" s="100">
        <v>1</v>
      </c>
      <c r="AB6" s="101">
        <v>4.0000000000000001E-3</v>
      </c>
      <c r="AC6" s="102" t="b">
        <f>AB7+AB15=AB6</f>
        <v>1</v>
      </c>
    </row>
    <row r="7" spans="1:30" s="109" customFormat="1">
      <c r="A7" s="104"/>
      <c r="B7" s="194" t="s">
        <v>150</v>
      </c>
      <c r="C7" s="194"/>
      <c r="D7" s="194"/>
      <c r="E7" s="195"/>
      <c r="F7" s="105">
        <v>418736649</v>
      </c>
      <c r="G7" s="105">
        <f>462574336</f>
        <v>462574336</v>
      </c>
      <c r="H7" s="105">
        <f>'kwota długu'!G16</f>
        <v>480099745</v>
      </c>
      <c r="I7" s="105">
        <f>'kwota długu'!H16</f>
        <v>496642897</v>
      </c>
      <c r="J7" s="105">
        <f>'kwota długu'!I16</f>
        <v>491298627</v>
      </c>
      <c r="K7" s="105">
        <f>'kwota długu'!J16</f>
        <v>386007168</v>
      </c>
      <c r="L7" s="105">
        <f>'kwota długu'!K16</f>
        <v>369050019</v>
      </c>
      <c r="M7" s="105">
        <f>'kwota długu'!L16</f>
        <v>381841055</v>
      </c>
      <c r="N7" s="105">
        <f>'kwota długu'!M16</f>
        <v>394823225</v>
      </c>
      <c r="O7" s="105">
        <f>'kwota długu'!N16</f>
        <v>407904851</v>
      </c>
      <c r="P7" s="105">
        <f>'kwota długu'!O16</f>
        <v>420753136</v>
      </c>
      <c r="Q7" s="105">
        <f>'kwota długu'!P16</f>
        <v>433680338</v>
      </c>
      <c r="R7" s="105">
        <f>'kwota długu'!Q16</f>
        <v>444779028</v>
      </c>
      <c r="S7" s="105">
        <f>'kwota długu'!R16</f>
        <v>458103709</v>
      </c>
      <c r="T7" s="105">
        <f>'kwota długu'!S16</f>
        <v>471751060</v>
      </c>
      <c r="U7" s="105">
        <f>'kwota długu'!T16</f>
        <v>485454335</v>
      </c>
      <c r="V7" s="105">
        <f>'kwota długu'!U16</f>
        <v>499542315</v>
      </c>
      <c r="W7" s="105">
        <f>'kwota długu'!V16</f>
        <v>514041161</v>
      </c>
      <c r="X7" s="105" t="e">
        <f>'kwota długu'!#REF!</f>
        <v>#REF!</v>
      </c>
      <c r="Y7" s="105" t="e">
        <f>'kwota długu'!#REF!</f>
        <v>#REF!</v>
      </c>
      <c r="Z7" s="106">
        <f>H7*AB7</f>
        <v>797601.38257921219</v>
      </c>
      <c r="AA7" s="107">
        <f>H7*AA6/H6</f>
        <v>0.41533108009628927</v>
      </c>
      <c r="AB7" s="108">
        <f>AA7*AB6/AA6</f>
        <v>1.661324320385157E-3</v>
      </c>
    </row>
    <row r="8" spans="1:30" s="116" customFormat="1">
      <c r="A8" s="110"/>
      <c r="B8" s="111"/>
      <c r="C8" s="111"/>
      <c r="D8" s="111"/>
      <c r="E8" s="112" t="s">
        <v>151</v>
      </c>
      <c r="F8" s="113">
        <f>61897065</f>
        <v>61897065</v>
      </c>
      <c r="G8" s="113">
        <f>103310611</f>
        <v>103310611</v>
      </c>
      <c r="H8" s="113">
        <v>129198163</v>
      </c>
      <c r="I8" s="113">
        <v>78054500</v>
      </c>
      <c r="J8" s="113">
        <v>45539952</v>
      </c>
      <c r="K8" s="113">
        <v>1858825</v>
      </c>
      <c r="L8" s="113">
        <v>1938542</v>
      </c>
      <c r="M8" s="113">
        <v>2070233</v>
      </c>
      <c r="N8" s="113">
        <v>2155292</v>
      </c>
      <c r="O8" s="113">
        <v>2242848</v>
      </c>
      <c r="P8" s="113">
        <v>2291255</v>
      </c>
      <c r="Q8" s="113">
        <v>2319939</v>
      </c>
      <c r="R8" s="113">
        <v>2329576</v>
      </c>
      <c r="S8" s="113">
        <v>2332822</v>
      </c>
      <c r="T8" s="113">
        <v>2270587</v>
      </c>
      <c r="U8" s="113">
        <v>2311368</v>
      </c>
      <c r="V8" s="113">
        <v>2350040</v>
      </c>
      <c r="W8" s="113">
        <v>2389829</v>
      </c>
      <c r="X8" s="113">
        <v>2425358</v>
      </c>
      <c r="Y8" s="113"/>
      <c r="Z8" s="114"/>
      <c r="AA8" s="114"/>
      <c r="AB8" s="115"/>
      <c r="AD8" s="117"/>
    </row>
    <row r="9" spans="1:30" s="116" customFormat="1">
      <c r="A9" s="110"/>
      <c r="B9" s="111"/>
      <c r="C9" s="111"/>
      <c r="D9" s="111"/>
      <c r="E9" s="112" t="s">
        <v>152</v>
      </c>
      <c r="F9" s="113">
        <v>60937747</v>
      </c>
      <c r="G9" s="113">
        <f>60000000</f>
        <v>60000000</v>
      </c>
      <c r="H9" s="113">
        <v>60000000</v>
      </c>
      <c r="I9" s="113">
        <f>60000000</f>
        <v>60000000</v>
      </c>
      <c r="J9" s="113">
        <f t="shared" ref="J9:Y9" si="2">60000000</f>
        <v>60000000</v>
      </c>
      <c r="K9" s="113">
        <f t="shared" si="2"/>
        <v>60000000</v>
      </c>
      <c r="L9" s="113">
        <f t="shared" si="2"/>
        <v>60000000</v>
      </c>
      <c r="M9" s="113">
        <f t="shared" si="2"/>
        <v>60000000</v>
      </c>
      <c r="N9" s="113">
        <f t="shared" si="2"/>
        <v>60000000</v>
      </c>
      <c r="O9" s="113">
        <f t="shared" si="2"/>
        <v>60000000</v>
      </c>
      <c r="P9" s="113">
        <f t="shared" si="2"/>
        <v>60000000</v>
      </c>
      <c r="Q9" s="113">
        <f t="shared" si="2"/>
        <v>60000000</v>
      </c>
      <c r="R9" s="113">
        <f t="shared" si="2"/>
        <v>60000000</v>
      </c>
      <c r="S9" s="113">
        <f t="shared" si="2"/>
        <v>60000000</v>
      </c>
      <c r="T9" s="113">
        <f t="shared" si="2"/>
        <v>60000000</v>
      </c>
      <c r="U9" s="113">
        <f t="shared" si="2"/>
        <v>60000000</v>
      </c>
      <c r="V9" s="113">
        <f t="shared" si="2"/>
        <v>60000000</v>
      </c>
      <c r="W9" s="113">
        <f t="shared" si="2"/>
        <v>60000000</v>
      </c>
      <c r="X9" s="113">
        <f t="shared" si="2"/>
        <v>60000000</v>
      </c>
      <c r="Y9" s="113">
        <f t="shared" si="2"/>
        <v>60000000</v>
      </c>
      <c r="Z9" s="114"/>
      <c r="AA9" s="114"/>
      <c r="AB9" s="115"/>
    </row>
    <row r="10" spans="1:30" s="116" customFormat="1">
      <c r="A10" s="110"/>
      <c r="B10" s="111"/>
      <c r="C10" s="111"/>
      <c r="D10" s="111"/>
      <c r="E10" s="112" t="s">
        <v>153</v>
      </c>
      <c r="F10" s="113">
        <v>26425063</v>
      </c>
      <c r="G10" s="113">
        <f>28984643</f>
        <v>28984643</v>
      </c>
      <c r="H10" s="113">
        <v>30714732</v>
      </c>
      <c r="I10" s="118">
        <f>$G$10</f>
        <v>28984643</v>
      </c>
      <c r="J10" s="118">
        <f t="shared" ref="J10:Y10" si="3">$G$10</f>
        <v>28984643</v>
      </c>
      <c r="K10" s="118">
        <f t="shared" si="3"/>
        <v>28984643</v>
      </c>
      <c r="L10" s="118">
        <f t="shared" si="3"/>
        <v>28984643</v>
      </c>
      <c r="M10" s="118">
        <f t="shared" si="3"/>
        <v>28984643</v>
      </c>
      <c r="N10" s="118">
        <f t="shared" si="3"/>
        <v>28984643</v>
      </c>
      <c r="O10" s="118">
        <f t="shared" si="3"/>
        <v>28984643</v>
      </c>
      <c r="P10" s="118">
        <f t="shared" si="3"/>
        <v>28984643</v>
      </c>
      <c r="Q10" s="118">
        <f t="shared" si="3"/>
        <v>28984643</v>
      </c>
      <c r="R10" s="118">
        <f t="shared" si="3"/>
        <v>28984643</v>
      </c>
      <c r="S10" s="118">
        <f t="shared" si="3"/>
        <v>28984643</v>
      </c>
      <c r="T10" s="118">
        <f t="shared" si="3"/>
        <v>28984643</v>
      </c>
      <c r="U10" s="118">
        <f t="shared" si="3"/>
        <v>28984643</v>
      </c>
      <c r="V10" s="118">
        <f t="shared" si="3"/>
        <v>28984643</v>
      </c>
      <c r="W10" s="118">
        <f t="shared" si="3"/>
        <v>28984643</v>
      </c>
      <c r="X10" s="118">
        <f t="shared" si="3"/>
        <v>28984643</v>
      </c>
      <c r="Y10" s="118">
        <f t="shared" si="3"/>
        <v>28984643</v>
      </c>
      <c r="Z10" s="114"/>
      <c r="AA10" s="114"/>
      <c r="AB10" s="115"/>
    </row>
    <row r="11" spans="1:30" s="116" customFormat="1">
      <c r="A11" s="110"/>
      <c r="B11" s="111"/>
      <c r="C11" s="111"/>
      <c r="D11" s="111"/>
      <c r="E11" s="112" t="s">
        <v>154</v>
      </c>
      <c r="F11" s="113">
        <v>181352650</v>
      </c>
      <c r="G11" s="113">
        <v>179695583</v>
      </c>
      <c r="H11" s="113">
        <v>198629521</v>
      </c>
      <c r="I11" s="113">
        <f>$H$11</f>
        <v>198629521</v>
      </c>
      <c r="J11" s="113">
        <f>$I$11</f>
        <v>198629521</v>
      </c>
      <c r="K11" s="113">
        <f t="shared" ref="K11:Y11" si="4">$G$11</f>
        <v>179695583</v>
      </c>
      <c r="L11" s="113">
        <f t="shared" si="4"/>
        <v>179695583</v>
      </c>
      <c r="M11" s="113">
        <f t="shared" si="4"/>
        <v>179695583</v>
      </c>
      <c r="N11" s="113">
        <f t="shared" si="4"/>
        <v>179695583</v>
      </c>
      <c r="O11" s="113">
        <f t="shared" si="4"/>
        <v>179695583</v>
      </c>
      <c r="P11" s="113">
        <f t="shared" si="4"/>
        <v>179695583</v>
      </c>
      <c r="Q11" s="113">
        <f t="shared" si="4"/>
        <v>179695583</v>
      </c>
      <c r="R11" s="113">
        <f t="shared" si="4"/>
        <v>179695583</v>
      </c>
      <c r="S11" s="113">
        <f t="shared" si="4"/>
        <v>179695583</v>
      </c>
      <c r="T11" s="113">
        <f t="shared" si="4"/>
        <v>179695583</v>
      </c>
      <c r="U11" s="113">
        <f t="shared" si="4"/>
        <v>179695583</v>
      </c>
      <c r="V11" s="113">
        <f t="shared" si="4"/>
        <v>179695583</v>
      </c>
      <c r="W11" s="113">
        <f t="shared" si="4"/>
        <v>179695583</v>
      </c>
      <c r="X11" s="113">
        <f t="shared" si="4"/>
        <v>179695583</v>
      </c>
      <c r="Y11" s="113">
        <f t="shared" si="4"/>
        <v>179695583</v>
      </c>
      <c r="Z11" s="114"/>
      <c r="AA11" s="114"/>
      <c r="AB11" s="115"/>
    </row>
    <row r="12" spans="1:30" s="116" customFormat="1">
      <c r="A12" s="110"/>
      <c r="B12" s="111"/>
      <c r="C12" s="111"/>
      <c r="D12" s="111"/>
      <c r="E12" s="112" t="s">
        <v>155</v>
      </c>
      <c r="F12" s="113">
        <v>61652322</v>
      </c>
      <c r="G12" s="113">
        <v>64393597</v>
      </c>
      <c r="H12" s="113">
        <v>52352000</v>
      </c>
      <c r="I12" s="113">
        <v>52352000</v>
      </c>
      <c r="J12" s="113">
        <v>52352000</v>
      </c>
      <c r="K12" s="113">
        <v>52352000</v>
      </c>
      <c r="L12" s="113">
        <v>52352000</v>
      </c>
      <c r="M12" s="113">
        <v>52352000</v>
      </c>
      <c r="N12" s="113">
        <v>52352000</v>
      </c>
      <c r="O12" s="113">
        <v>52352000</v>
      </c>
      <c r="P12" s="113">
        <v>52352000</v>
      </c>
      <c r="Q12" s="113">
        <v>52352000</v>
      </c>
      <c r="R12" s="113">
        <v>52352000</v>
      </c>
      <c r="S12" s="113">
        <v>52352000</v>
      </c>
      <c r="T12" s="113">
        <v>52352000</v>
      </c>
      <c r="U12" s="113">
        <v>52352000</v>
      </c>
      <c r="V12" s="113">
        <v>52352000</v>
      </c>
      <c r="W12" s="113">
        <v>52352000</v>
      </c>
      <c r="X12" s="113">
        <v>52352000</v>
      </c>
      <c r="Y12" s="113">
        <v>52352000</v>
      </c>
      <c r="Z12" s="114"/>
      <c r="AA12" s="114"/>
      <c r="AB12" s="115"/>
    </row>
    <row r="13" spans="1:30" s="116" customFormat="1">
      <c r="A13" s="110"/>
      <c r="B13" s="111"/>
      <c r="C13" s="111"/>
      <c r="D13" s="111"/>
      <c r="E13" s="112" t="s">
        <v>156</v>
      </c>
      <c r="F13" s="113">
        <f>F7-SUM(F8:F12)</f>
        <v>26471802</v>
      </c>
      <c r="G13" s="113">
        <f>G7-SUM(G8:G12)</f>
        <v>26189902</v>
      </c>
      <c r="H13" s="113">
        <f>H7-SUM(H8:H12)</f>
        <v>9205329</v>
      </c>
      <c r="I13" s="113">
        <f>$H$13</f>
        <v>9205329</v>
      </c>
      <c r="J13" s="113">
        <f>$G$13</f>
        <v>26189902</v>
      </c>
      <c r="K13" s="113">
        <f t="shared" ref="K13:Y13" si="5">$G$13</f>
        <v>26189902</v>
      </c>
      <c r="L13" s="113">
        <f t="shared" si="5"/>
        <v>26189902</v>
      </c>
      <c r="M13" s="113">
        <f t="shared" si="5"/>
        <v>26189902</v>
      </c>
      <c r="N13" s="113">
        <f t="shared" si="5"/>
        <v>26189902</v>
      </c>
      <c r="O13" s="113">
        <f t="shared" si="5"/>
        <v>26189902</v>
      </c>
      <c r="P13" s="113">
        <f t="shared" si="5"/>
        <v>26189902</v>
      </c>
      <c r="Q13" s="113">
        <f t="shared" si="5"/>
        <v>26189902</v>
      </c>
      <c r="R13" s="113">
        <f t="shared" si="5"/>
        <v>26189902</v>
      </c>
      <c r="S13" s="113">
        <f t="shared" si="5"/>
        <v>26189902</v>
      </c>
      <c r="T13" s="113">
        <f t="shared" si="5"/>
        <v>26189902</v>
      </c>
      <c r="U13" s="113">
        <f t="shared" si="5"/>
        <v>26189902</v>
      </c>
      <c r="V13" s="113">
        <f t="shared" si="5"/>
        <v>26189902</v>
      </c>
      <c r="W13" s="113">
        <f t="shared" si="5"/>
        <v>26189902</v>
      </c>
      <c r="X13" s="113">
        <f t="shared" si="5"/>
        <v>26189902</v>
      </c>
      <c r="Y13" s="113">
        <f t="shared" si="5"/>
        <v>26189902</v>
      </c>
      <c r="Z13" s="114"/>
      <c r="AA13" s="114"/>
      <c r="AB13" s="115"/>
    </row>
    <row r="14" spans="1:30" s="125" customFormat="1">
      <c r="A14" s="119"/>
      <c r="B14" s="120"/>
      <c r="C14" s="120"/>
      <c r="D14" s="120"/>
      <c r="E14" s="121" t="s">
        <v>157</v>
      </c>
      <c r="F14" s="122"/>
      <c r="G14" s="122"/>
      <c r="H14" s="122"/>
      <c r="I14" s="122">
        <f>SUM(I8:I13)-I7</f>
        <v>-69416904</v>
      </c>
      <c r="J14" s="122">
        <f t="shared" ref="J14:Y14" si="6">SUM(J8:J13)-J7</f>
        <v>-79602609</v>
      </c>
      <c r="K14" s="122">
        <f t="shared" si="6"/>
        <v>-36926215</v>
      </c>
      <c r="L14" s="122">
        <f t="shared" si="6"/>
        <v>-19889349</v>
      </c>
      <c r="M14" s="122">
        <f t="shared" si="6"/>
        <v>-32548694</v>
      </c>
      <c r="N14" s="122">
        <f t="shared" si="6"/>
        <v>-45445805</v>
      </c>
      <c r="O14" s="122">
        <f t="shared" si="6"/>
        <v>-58439875</v>
      </c>
      <c r="P14" s="122">
        <f t="shared" si="6"/>
        <v>-71239753</v>
      </c>
      <c r="Q14" s="122">
        <f t="shared" si="6"/>
        <v>-84138271</v>
      </c>
      <c r="R14" s="122">
        <f t="shared" si="6"/>
        <v>-95227324</v>
      </c>
      <c r="S14" s="122">
        <f t="shared" si="6"/>
        <v>-108548759</v>
      </c>
      <c r="T14" s="122">
        <f t="shared" si="6"/>
        <v>-122258345</v>
      </c>
      <c r="U14" s="122">
        <f t="shared" si="6"/>
        <v>-135920839</v>
      </c>
      <c r="V14" s="122">
        <f t="shared" si="6"/>
        <v>-149970147</v>
      </c>
      <c r="W14" s="122">
        <f t="shared" si="6"/>
        <v>-164429204</v>
      </c>
      <c r="X14" s="122" t="e">
        <f t="shared" si="6"/>
        <v>#REF!</v>
      </c>
      <c r="Y14" s="122" t="e">
        <f t="shared" si="6"/>
        <v>#REF!</v>
      </c>
      <c r="Z14" s="123"/>
      <c r="AA14" s="123"/>
      <c r="AB14" s="124"/>
    </row>
    <row r="15" spans="1:30" s="109" customFormat="1">
      <c r="A15" s="104"/>
      <c r="B15" s="194" t="s">
        <v>158</v>
      </c>
      <c r="C15" s="194"/>
      <c r="D15" s="194"/>
      <c r="E15" s="195"/>
      <c r="F15" s="126">
        <v>139128329</v>
      </c>
      <c r="G15" s="126">
        <f>262935637</f>
        <v>262935637</v>
      </c>
      <c r="H15" s="126">
        <f>'kwota długu'!G17</f>
        <v>675844917</v>
      </c>
      <c r="I15" s="126">
        <f>'kwota długu'!H17</f>
        <v>495597824</v>
      </c>
      <c r="J15" s="126">
        <f>'kwota długu'!I17</f>
        <v>305631820</v>
      </c>
      <c r="K15" s="126">
        <f>'kwota długu'!J17</f>
        <v>175868598</v>
      </c>
      <c r="L15" s="126">
        <f>'kwota długu'!K17</f>
        <v>26825736</v>
      </c>
      <c r="M15" s="126">
        <f>'kwota długu'!L17</f>
        <v>27764637</v>
      </c>
      <c r="N15" s="126">
        <f>'kwota długu'!M17</f>
        <v>28708635</v>
      </c>
      <c r="O15" s="126">
        <f>'kwota długu'!N17</f>
        <v>29656020</v>
      </c>
      <c r="P15" s="126">
        <f>'kwota długu'!O17</f>
        <v>30605013</v>
      </c>
      <c r="Q15" s="126">
        <f>'kwota długu'!P17</f>
        <v>31553768</v>
      </c>
      <c r="R15" s="126">
        <f>'kwota długu'!Q17</f>
        <v>32500381</v>
      </c>
      <c r="S15" s="126">
        <f>'kwota długu'!R17</f>
        <v>33475392</v>
      </c>
      <c r="T15" s="126">
        <f>'kwota długu'!S17</f>
        <v>34479654</v>
      </c>
      <c r="U15" s="126">
        <f>'kwota długu'!T17</f>
        <v>35479564</v>
      </c>
      <c r="V15" s="126">
        <f>'kwota długu'!U17</f>
        <v>36508471</v>
      </c>
      <c r="W15" s="126">
        <f>'kwota długu'!V17</f>
        <v>37567217</v>
      </c>
      <c r="X15" s="126" t="e">
        <f>'kwota długu'!#REF!</f>
        <v>#REF!</v>
      </c>
      <c r="Y15" s="126" t="e">
        <f>'kwota długu'!#REF!</f>
        <v>#REF!</v>
      </c>
      <c r="Z15" s="106">
        <f>H15*AB15</f>
        <v>1580582.0705792122</v>
      </c>
      <c r="AA15" s="107">
        <f>H15*AA6/H6</f>
        <v>0.58466891990371073</v>
      </c>
      <c r="AB15" s="108">
        <f>AA15*AB6/AA6</f>
        <v>2.3386756796148428E-3</v>
      </c>
    </row>
    <row r="16" spans="1:30" s="116" customFormat="1">
      <c r="A16" s="110"/>
      <c r="B16" s="111"/>
      <c r="C16" s="111"/>
      <c r="D16" s="111"/>
      <c r="E16" s="112" t="s">
        <v>151</v>
      </c>
      <c r="F16" s="113">
        <f>97995019</f>
        <v>97995019</v>
      </c>
      <c r="G16" s="113">
        <v>195433657</v>
      </c>
      <c r="H16" s="113">
        <f>660959193-17044000</f>
        <v>643915193</v>
      </c>
      <c r="I16" s="113">
        <f>465245272-39584000</f>
        <v>425661272</v>
      </c>
      <c r="J16" s="113">
        <f>180776823-39584000</f>
        <v>141192823</v>
      </c>
      <c r="K16" s="113">
        <v>0</v>
      </c>
      <c r="L16" s="113">
        <v>0</v>
      </c>
      <c r="M16" s="113">
        <v>0</v>
      </c>
      <c r="N16" s="113">
        <v>0</v>
      </c>
      <c r="O16" s="113">
        <v>0</v>
      </c>
      <c r="P16" s="113">
        <v>0</v>
      </c>
      <c r="Q16" s="113">
        <v>0</v>
      </c>
      <c r="R16" s="113">
        <v>0</v>
      </c>
      <c r="S16" s="113">
        <v>0</v>
      </c>
      <c r="T16" s="113">
        <v>0</v>
      </c>
      <c r="U16" s="113">
        <v>0</v>
      </c>
      <c r="V16" s="113">
        <v>0</v>
      </c>
      <c r="W16" s="113">
        <v>0</v>
      </c>
      <c r="X16" s="113">
        <v>0</v>
      </c>
      <c r="Y16" s="113">
        <v>0</v>
      </c>
      <c r="Z16" s="114"/>
    </row>
    <row r="17" spans="1:28" s="116" customFormat="1">
      <c r="A17" s="110"/>
      <c r="B17" s="111"/>
      <c r="C17" s="111"/>
      <c r="D17" s="111"/>
      <c r="E17" s="111" t="s">
        <v>159</v>
      </c>
      <c r="F17" s="113">
        <v>241737</v>
      </c>
      <c r="G17" s="113">
        <v>10373333</v>
      </c>
      <c r="H17" s="113">
        <v>10400000</v>
      </c>
      <c r="I17" s="118">
        <f>'[1]kwota długu'!I13</f>
        <v>3000000</v>
      </c>
      <c r="J17" s="118">
        <f>'[1]kwota długu'!J13</f>
        <v>3000000</v>
      </c>
      <c r="K17" s="118">
        <f>'[2]kwota długu'!J13</f>
        <v>0</v>
      </c>
      <c r="L17" s="118">
        <f>'[2]kwota długu'!K13</f>
        <v>0</v>
      </c>
      <c r="M17" s="118">
        <f>'[2]kwota długu'!L13</f>
        <v>0</v>
      </c>
      <c r="N17" s="118">
        <f>'[2]kwota długu'!M13</f>
        <v>0</v>
      </c>
      <c r="O17" s="118">
        <f>'[2]kwota długu'!N13</f>
        <v>0</v>
      </c>
      <c r="P17" s="118">
        <f>'[2]kwota długu'!O13</f>
        <v>0</v>
      </c>
      <c r="Q17" s="118">
        <f>'[2]kwota długu'!P13</f>
        <v>0</v>
      </c>
      <c r="R17" s="118">
        <f>'[2]kwota długu'!Q13</f>
        <v>0</v>
      </c>
      <c r="S17" s="118">
        <f>'[2]kwota długu'!R13</f>
        <v>0</v>
      </c>
      <c r="T17" s="118">
        <f>'[2]kwota długu'!S13</f>
        <v>0</v>
      </c>
      <c r="U17" s="118">
        <f>'[2]kwota długu'!T13</f>
        <v>0</v>
      </c>
      <c r="V17" s="118">
        <f>'[2]kwota długu'!U13</f>
        <v>0</v>
      </c>
      <c r="W17" s="118">
        <f>'[2]kwota długu'!V13</f>
        <v>0</v>
      </c>
      <c r="X17" s="118">
        <f>'[2]kwota długu'!W13</f>
        <v>0</v>
      </c>
      <c r="Y17" s="118">
        <f>'[2]kwota długu'!X13</f>
        <v>0</v>
      </c>
      <c r="Z17" s="114"/>
      <c r="AA17" s="114"/>
      <c r="AB17" s="115"/>
    </row>
    <row r="18" spans="1:28" s="116" customFormat="1">
      <c r="A18" s="110"/>
      <c r="B18" s="111"/>
      <c r="C18" s="111"/>
      <c r="D18" s="111"/>
      <c r="E18" s="112" t="s">
        <v>155</v>
      </c>
      <c r="F18" s="113">
        <v>14940628</v>
      </c>
      <c r="G18" s="113">
        <v>16324000</v>
      </c>
      <c r="H18" s="113">
        <v>17044000</v>
      </c>
      <c r="I18" s="113">
        <v>39584000</v>
      </c>
      <c r="J18" s="113">
        <v>25219668</v>
      </c>
      <c r="K18" s="113">
        <f>$H$18</f>
        <v>17044000</v>
      </c>
      <c r="L18" s="113">
        <f t="shared" ref="L18:Y18" si="7">$H$18</f>
        <v>17044000</v>
      </c>
      <c r="M18" s="113">
        <f t="shared" si="7"/>
        <v>17044000</v>
      </c>
      <c r="N18" s="113">
        <f t="shared" si="7"/>
        <v>17044000</v>
      </c>
      <c r="O18" s="113">
        <f t="shared" si="7"/>
        <v>17044000</v>
      </c>
      <c r="P18" s="113">
        <f t="shared" si="7"/>
        <v>17044000</v>
      </c>
      <c r="Q18" s="113">
        <f t="shared" si="7"/>
        <v>17044000</v>
      </c>
      <c r="R18" s="113">
        <f t="shared" si="7"/>
        <v>17044000</v>
      </c>
      <c r="S18" s="113">
        <f t="shared" si="7"/>
        <v>17044000</v>
      </c>
      <c r="T18" s="113">
        <f t="shared" si="7"/>
        <v>17044000</v>
      </c>
      <c r="U18" s="113">
        <f t="shared" si="7"/>
        <v>17044000</v>
      </c>
      <c r="V18" s="113">
        <f t="shared" si="7"/>
        <v>17044000</v>
      </c>
      <c r="W18" s="113">
        <f t="shared" si="7"/>
        <v>17044000</v>
      </c>
      <c r="X18" s="113">
        <f t="shared" si="7"/>
        <v>17044000</v>
      </c>
      <c r="Y18" s="113">
        <f t="shared" si="7"/>
        <v>17044000</v>
      </c>
      <c r="Z18" s="114"/>
      <c r="AA18" s="114"/>
      <c r="AB18" s="115"/>
    </row>
    <row r="19" spans="1:28" s="116" customFormat="1">
      <c r="A19" s="110"/>
      <c r="B19" s="111"/>
      <c r="C19" s="111"/>
      <c r="D19" s="111"/>
      <c r="E19" s="111" t="s">
        <v>160</v>
      </c>
      <c r="F19" s="113">
        <f>F14-F15-F16</f>
        <v>-237123348</v>
      </c>
      <c r="G19" s="113">
        <f>G14-G15-G16</f>
        <v>-458369294</v>
      </c>
      <c r="H19" s="113">
        <f>H15-SUM(H15:H17)</f>
        <v>-654315193</v>
      </c>
      <c r="I19" s="113">
        <v>2000000</v>
      </c>
      <c r="J19" s="113">
        <f>$I$19+(I19*J1)</f>
        <v>4076000</v>
      </c>
      <c r="K19" s="113">
        <f t="shared" ref="K19:Y19" si="8">$I$19+(J19*K1)</f>
        <v>6226812</v>
      </c>
      <c r="L19" s="113">
        <f t="shared" si="8"/>
        <v>8463430.8560000006</v>
      </c>
      <c r="M19" s="113">
        <f t="shared" si="8"/>
        <v>10776577.797672</v>
      </c>
      <c r="N19" s="113">
        <f t="shared" si="8"/>
        <v>13142981.442792848</v>
      </c>
      <c r="O19" s="113">
        <f t="shared" si="8"/>
        <v>15576699.83040501</v>
      </c>
      <c r="P19" s="113">
        <f t="shared" si="8"/>
        <v>18075154.22497797</v>
      </c>
      <c r="Q19" s="113">
        <f t="shared" si="8"/>
        <v>20635484.005952287</v>
      </c>
      <c r="R19" s="113">
        <f t="shared" si="8"/>
        <v>23254548.526130855</v>
      </c>
      <c r="S19" s="113">
        <f t="shared" si="8"/>
        <v>25928930.433388647</v>
      </c>
      <c r="T19" s="113">
        <f t="shared" si="8"/>
        <v>28654940.485523529</v>
      </c>
      <c r="U19" s="113">
        <f t="shared" si="8"/>
        <v>31457278.819118191</v>
      </c>
      <c r="V19" s="113">
        <f t="shared" si="8"/>
        <v>34338082.626053497</v>
      </c>
      <c r="W19" s="113">
        <f t="shared" si="8"/>
        <v>37265210.856956936</v>
      </c>
      <c r="X19" s="113">
        <f t="shared" si="8"/>
        <v>40271371.550094768</v>
      </c>
      <c r="Y19" s="113">
        <f t="shared" si="8"/>
        <v>43358698.581947327</v>
      </c>
      <c r="Z19" s="114"/>
      <c r="AA19" s="114"/>
      <c r="AB19" s="115"/>
    </row>
    <row r="20" spans="1:28" s="125" customFormat="1">
      <c r="A20" s="119"/>
      <c r="B20" s="120"/>
      <c r="C20" s="120"/>
      <c r="D20" s="120"/>
      <c r="E20" s="121" t="s">
        <v>157</v>
      </c>
      <c r="F20" s="122"/>
      <c r="G20" s="122"/>
      <c r="H20" s="122"/>
      <c r="I20" s="122">
        <f>SUM(I16:I19)-I15</f>
        <v>-25352552</v>
      </c>
      <c r="J20" s="122">
        <f t="shared" ref="J20:Y20" si="9">SUM(J16:J19)-J15</f>
        <v>-132143329</v>
      </c>
      <c r="K20" s="122">
        <f t="shared" si="9"/>
        <v>-152597786</v>
      </c>
      <c r="L20" s="122">
        <f t="shared" si="9"/>
        <v>-1318305.1440000013</v>
      </c>
      <c r="M20" s="122">
        <f t="shared" si="9"/>
        <v>55940.797671999782</v>
      </c>
      <c r="N20" s="122">
        <f t="shared" si="9"/>
        <v>1478346.4427928478</v>
      </c>
      <c r="O20" s="122">
        <f t="shared" si="9"/>
        <v>2964679.8304050118</v>
      </c>
      <c r="P20" s="122">
        <f t="shared" si="9"/>
        <v>4514141.2249779701</v>
      </c>
      <c r="Q20" s="122">
        <f t="shared" si="9"/>
        <v>6125716.0059522837</v>
      </c>
      <c r="R20" s="122">
        <f t="shared" si="9"/>
        <v>7798167.5261308551</v>
      </c>
      <c r="S20" s="122">
        <f t="shared" si="9"/>
        <v>9497538.4333886504</v>
      </c>
      <c r="T20" s="122">
        <f t="shared" si="9"/>
        <v>11219286.485523529</v>
      </c>
      <c r="U20" s="122">
        <f t="shared" si="9"/>
        <v>13021714.819118187</v>
      </c>
      <c r="V20" s="122">
        <f t="shared" si="9"/>
        <v>14873611.626053497</v>
      </c>
      <c r="W20" s="122">
        <f t="shared" si="9"/>
        <v>16741993.856956936</v>
      </c>
      <c r="X20" s="122" t="e">
        <f t="shared" si="9"/>
        <v>#REF!</v>
      </c>
      <c r="Y20" s="122" t="e">
        <f t="shared" si="9"/>
        <v>#REF!</v>
      </c>
      <c r="Z20" s="123"/>
      <c r="AA20" s="123"/>
      <c r="AB20" s="124"/>
    </row>
    <row r="21" spans="1:28" s="93" customFormat="1">
      <c r="A21" s="190" t="s">
        <v>47</v>
      </c>
      <c r="B21" s="190"/>
      <c r="C21" s="190"/>
      <c r="D21" s="190"/>
      <c r="E21" s="190"/>
      <c r="F21" s="191" t="s">
        <v>128</v>
      </c>
      <c r="G21" s="191"/>
      <c r="H21" s="191"/>
      <c r="I21" s="191"/>
      <c r="J21" s="191"/>
      <c r="K21" s="191"/>
      <c r="L21" s="191"/>
      <c r="M21" s="192" t="s">
        <v>128</v>
      </c>
      <c r="N21" s="192"/>
      <c r="O21" s="192"/>
      <c r="P21" s="192"/>
      <c r="Q21" s="192"/>
      <c r="R21" s="192"/>
      <c r="S21" s="192"/>
      <c r="T21" s="192"/>
      <c r="U21" s="192" t="s">
        <v>128</v>
      </c>
      <c r="V21" s="192"/>
      <c r="W21" s="192"/>
      <c r="X21" s="192"/>
      <c r="Y21" s="193"/>
      <c r="Z21" s="92"/>
      <c r="AB21" s="91"/>
    </row>
    <row r="22" spans="1:28" s="97" customFormat="1" ht="25.5">
      <c r="A22" s="190"/>
      <c r="B22" s="190"/>
      <c r="C22" s="190"/>
      <c r="D22" s="190"/>
      <c r="E22" s="190"/>
      <c r="F22" s="94" t="s">
        <v>129</v>
      </c>
      <c r="G22" s="94" t="s">
        <v>130</v>
      </c>
      <c r="H22" s="95" t="s">
        <v>131</v>
      </c>
      <c r="I22" s="95" t="s">
        <v>132</v>
      </c>
      <c r="J22" s="95" t="s">
        <v>133</v>
      </c>
      <c r="K22" s="95" t="s">
        <v>134</v>
      </c>
      <c r="L22" s="95" t="s">
        <v>135</v>
      </c>
      <c r="M22" s="95" t="s">
        <v>136</v>
      </c>
      <c r="N22" s="95" t="s">
        <v>137</v>
      </c>
      <c r="O22" s="95" t="s">
        <v>138</v>
      </c>
      <c r="P22" s="95" t="s">
        <v>139</v>
      </c>
      <c r="Q22" s="95" t="s">
        <v>140</v>
      </c>
      <c r="R22" s="95" t="s">
        <v>141</v>
      </c>
      <c r="S22" s="95" t="s">
        <v>142</v>
      </c>
      <c r="T22" s="95" t="s">
        <v>143</v>
      </c>
      <c r="U22" s="95" t="s">
        <v>144</v>
      </c>
      <c r="V22" s="95" t="s">
        <v>145</v>
      </c>
      <c r="W22" s="95" t="s">
        <v>146</v>
      </c>
      <c r="X22" s="95" t="s">
        <v>147</v>
      </c>
      <c r="Y22" s="95" t="s">
        <v>148</v>
      </c>
      <c r="Z22" s="96"/>
      <c r="AB22" s="96"/>
    </row>
    <row r="23" spans="1:28" s="103" customFormat="1">
      <c r="A23" s="189" t="s">
        <v>161</v>
      </c>
      <c r="B23" s="189"/>
      <c r="C23" s="189"/>
      <c r="D23" s="189"/>
      <c r="E23" s="189"/>
      <c r="F23" s="98">
        <f t="shared" ref="F23:Y23" si="10">F24+F37</f>
        <v>578167554</v>
      </c>
      <c r="G23" s="98">
        <f t="shared" si="10"/>
        <v>797662163</v>
      </c>
      <c r="H23" s="98">
        <f>H24+H37</f>
        <v>1246923662</v>
      </c>
      <c r="I23" s="98">
        <f t="shared" si="10"/>
        <v>964286388</v>
      </c>
      <c r="J23" s="98">
        <f t="shared" si="10"/>
        <v>768976114</v>
      </c>
      <c r="K23" s="98">
        <f t="shared" si="10"/>
        <v>533921433</v>
      </c>
      <c r="L23" s="98">
        <f t="shared" si="10"/>
        <v>367921422</v>
      </c>
      <c r="M23" s="98">
        <f t="shared" si="10"/>
        <v>381651359</v>
      </c>
      <c r="N23" s="98">
        <f t="shared" si="10"/>
        <v>395577527</v>
      </c>
      <c r="O23" s="98">
        <f t="shared" si="10"/>
        <v>409606538</v>
      </c>
      <c r="P23" s="98">
        <f t="shared" si="10"/>
        <v>424228493</v>
      </c>
      <c r="Q23" s="98">
        <f t="shared" si="10"/>
        <v>438935773</v>
      </c>
      <c r="R23" s="98">
        <f t="shared" si="10"/>
        <v>456303876</v>
      </c>
      <c r="S23" s="98">
        <f t="shared" si="10"/>
        <v>471319568</v>
      </c>
      <c r="T23" s="98">
        <f t="shared" si="10"/>
        <v>487637843</v>
      </c>
      <c r="U23" s="98">
        <f t="shared" si="10"/>
        <v>504934366</v>
      </c>
      <c r="V23" s="98">
        <f t="shared" si="10"/>
        <v>522051253</v>
      </c>
      <c r="W23" s="98">
        <f t="shared" si="10"/>
        <v>544175040</v>
      </c>
      <c r="X23" s="98" t="e">
        <f t="shared" si="10"/>
        <v>#REF!</v>
      </c>
      <c r="Y23" s="98" t="e">
        <f t="shared" si="10"/>
        <v>#REF!</v>
      </c>
      <c r="Z23" s="99"/>
      <c r="AB23" s="99"/>
    </row>
    <row r="24" spans="1:28" s="130" customFormat="1" ht="19.5" customHeight="1">
      <c r="A24" s="127"/>
      <c r="B24" s="198" t="s">
        <v>162</v>
      </c>
      <c r="C24" s="198"/>
      <c r="D24" s="198"/>
      <c r="E24" s="199"/>
      <c r="F24" s="128">
        <f>F25+F28+F29+F30+F32+F33</f>
        <v>370220287</v>
      </c>
      <c r="G24" s="128">
        <f>G25+G28+G29+G30+G32+G33</f>
        <v>433532644</v>
      </c>
      <c r="H24" s="128">
        <f>'kwota długu'!G20</f>
        <v>437604264</v>
      </c>
      <c r="I24" s="128">
        <f>'kwota długu'!H20</f>
        <v>400650516</v>
      </c>
      <c r="J24" s="128">
        <f>'kwota długu'!I20</f>
        <v>389147420</v>
      </c>
      <c r="K24" s="128">
        <f>'kwota długu'!J20</f>
        <v>309432539</v>
      </c>
      <c r="L24" s="128">
        <f>'kwota długu'!K20</f>
        <v>314908679</v>
      </c>
      <c r="M24" s="128">
        <f>'kwota długu'!L20</f>
        <v>320268926</v>
      </c>
      <c r="N24" s="128">
        <f>'kwota długu'!M20</f>
        <v>325800354</v>
      </c>
      <c r="O24" s="128">
        <f>'kwota długu'!N20</f>
        <v>331507154</v>
      </c>
      <c r="P24" s="128">
        <f>'kwota długu'!O20</f>
        <v>337393280</v>
      </c>
      <c r="Q24" s="128">
        <f>'kwota długu'!P20</f>
        <v>343513186</v>
      </c>
      <c r="R24" s="128">
        <f>'kwota długu'!Q20</f>
        <v>349536999</v>
      </c>
      <c r="S24" s="128">
        <f>'kwota długu'!R20</f>
        <v>355749278</v>
      </c>
      <c r="T24" s="128">
        <f>'kwota długu'!S20</f>
        <v>361614860</v>
      </c>
      <c r="U24" s="128">
        <f>'kwota długu'!T20</f>
        <v>368729174</v>
      </c>
      <c r="V24" s="128">
        <f>'kwota długu'!U20</f>
        <v>376189887</v>
      </c>
      <c r="W24" s="128">
        <f>'kwota długu'!V20</f>
        <v>383590565</v>
      </c>
      <c r="X24" s="128" t="e">
        <f>'kwota długu'!#REF!</f>
        <v>#REF!</v>
      </c>
      <c r="Y24" s="128" t="e">
        <f>'kwota długu'!#REF!</f>
        <v>#REF!</v>
      </c>
      <c r="Z24" s="129"/>
      <c r="AB24" s="129"/>
    </row>
    <row r="25" spans="1:28" s="134" customFormat="1">
      <c r="A25" s="131"/>
      <c r="B25" s="132"/>
      <c r="C25" s="200" t="s">
        <v>163</v>
      </c>
      <c r="D25" s="200"/>
      <c r="E25" s="201"/>
      <c r="F25" s="133">
        <f>F26+F27</f>
        <v>166245502</v>
      </c>
      <c r="G25" s="133">
        <f>G26+G27</f>
        <v>187794101</v>
      </c>
      <c r="H25" s="133">
        <f>H26+H27</f>
        <v>0</v>
      </c>
      <c r="I25" s="133"/>
      <c r="J25" s="133">
        <f t="shared" ref="J25:Y25" si="11">J26+J27</f>
        <v>0</v>
      </c>
      <c r="K25" s="133">
        <f t="shared" si="11"/>
        <v>0</v>
      </c>
      <c r="L25" s="133">
        <f t="shared" si="11"/>
        <v>0</v>
      </c>
      <c r="M25" s="133">
        <f t="shared" si="11"/>
        <v>0</v>
      </c>
      <c r="N25" s="133">
        <f t="shared" si="11"/>
        <v>0</v>
      </c>
      <c r="O25" s="133">
        <f t="shared" si="11"/>
        <v>0</v>
      </c>
      <c r="P25" s="133">
        <f t="shared" si="11"/>
        <v>0</v>
      </c>
      <c r="Q25" s="133">
        <f t="shared" si="11"/>
        <v>0</v>
      </c>
      <c r="R25" s="133">
        <f t="shared" si="11"/>
        <v>0</v>
      </c>
      <c r="S25" s="133">
        <f t="shared" si="11"/>
        <v>0</v>
      </c>
      <c r="T25" s="133">
        <f t="shared" si="11"/>
        <v>0</v>
      </c>
      <c r="U25" s="133">
        <f t="shared" si="11"/>
        <v>0</v>
      </c>
      <c r="V25" s="133">
        <f t="shared" si="11"/>
        <v>0</v>
      </c>
      <c r="W25" s="133">
        <f t="shared" si="11"/>
        <v>0</v>
      </c>
      <c r="X25" s="133">
        <f t="shared" si="11"/>
        <v>0</v>
      </c>
      <c r="Y25" s="133">
        <f t="shared" si="11"/>
        <v>0</v>
      </c>
    </row>
    <row r="26" spans="1:28" s="116" customFormat="1">
      <c r="A26" s="110"/>
      <c r="B26" s="111"/>
      <c r="C26" s="111"/>
      <c r="D26" s="202" t="s">
        <v>164</v>
      </c>
      <c r="E26" s="203"/>
      <c r="F26" s="113">
        <f>80952275</f>
        <v>80952275</v>
      </c>
      <c r="G26" s="113">
        <f>87703434</f>
        <v>87703434</v>
      </c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</row>
    <row r="27" spans="1:28" s="116" customFormat="1">
      <c r="A27" s="110"/>
      <c r="B27" s="111"/>
      <c r="C27" s="111"/>
      <c r="D27" s="202" t="s">
        <v>165</v>
      </c>
      <c r="E27" s="203"/>
      <c r="F27" s="113">
        <f>87779063-2485836</f>
        <v>85293227</v>
      </c>
      <c r="G27" s="113">
        <f>87658298+12432369</f>
        <v>100090667</v>
      </c>
      <c r="H27" s="113"/>
      <c r="I27" s="113"/>
      <c r="J27" s="113"/>
      <c r="K27" s="113"/>
      <c r="L27" s="113"/>
      <c r="M27" s="113"/>
      <c r="N27" s="113"/>
      <c r="O27" s="113"/>
      <c r="P27" s="113"/>
      <c r="Q27" s="113"/>
      <c r="R27" s="113"/>
      <c r="S27" s="113"/>
      <c r="T27" s="113"/>
      <c r="U27" s="113"/>
      <c r="V27" s="113"/>
      <c r="W27" s="113"/>
      <c r="X27" s="113"/>
      <c r="Y27" s="113"/>
    </row>
    <row r="28" spans="1:28" s="134" customFormat="1">
      <c r="A28" s="135"/>
      <c r="B28" s="136"/>
      <c r="C28" s="204" t="s">
        <v>166</v>
      </c>
      <c r="D28" s="204"/>
      <c r="E28" s="205"/>
      <c r="F28" s="137">
        <f>124408123-46687734</f>
        <v>77720389</v>
      </c>
      <c r="G28" s="137">
        <f>126957490-12432369</f>
        <v>114525121</v>
      </c>
      <c r="H28" s="137"/>
      <c r="I28" s="137"/>
      <c r="J28" s="137"/>
      <c r="K28" s="137"/>
      <c r="L28" s="137"/>
      <c r="M28" s="137"/>
      <c r="N28" s="137"/>
      <c r="O28" s="137"/>
      <c r="P28" s="137"/>
      <c r="Q28" s="137"/>
      <c r="R28" s="137"/>
      <c r="S28" s="137"/>
      <c r="T28" s="137"/>
      <c r="U28" s="137"/>
      <c r="V28" s="137"/>
      <c r="W28" s="137"/>
      <c r="X28" s="137"/>
      <c r="Y28" s="137"/>
    </row>
    <row r="29" spans="1:28" s="134" customFormat="1" ht="12" customHeight="1">
      <c r="A29" s="135"/>
      <c r="B29" s="136"/>
      <c r="C29" s="204" t="s">
        <v>167</v>
      </c>
      <c r="D29" s="204"/>
      <c r="E29" s="205"/>
      <c r="F29" s="137">
        <f>1718570</f>
        <v>1718570</v>
      </c>
      <c r="G29" s="137">
        <f>2229463+18500+5597</f>
        <v>2253560</v>
      </c>
      <c r="H29" s="137"/>
      <c r="I29" s="137"/>
      <c r="J29" s="137"/>
      <c r="K29" s="137"/>
      <c r="L29" s="137"/>
      <c r="M29" s="137"/>
      <c r="N29" s="137"/>
      <c r="O29" s="137"/>
      <c r="P29" s="137"/>
      <c r="Q29" s="137"/>
      <c r="R29" s="137"/>
      <c r="S29" s="137"/>
      <c r="T29" s="137"/>
      <c r="U29" s="137"/>
      <c r="V29" s="137"/>
      <c r="W29" s="137"/>
      <c r="X29" s="137"/>
      <c r="Y29" s="137"/>
    </row>
    <row r="30" spans="1:28" s="134" customFormat="1">
      <c r="A30" s="135"/>
      <c r="B30" s="136"/>
      <c r="C30" s="196" t="s">
        <v>168</v>
      </c>
      <c r="D30" s="196"/>
      <c r="E30" s="197"/>
      <c r="F30" s="137">
        <f>68557326+46687734+2485836</f>
        <v>117730896</v>
      </c>
      <c r="G30" s="137">
        <v>106328280</v>
      </c>
      <c r="H30" s="137">
        <f>189362429-H32</f>
        <v>183626500</v>
      </c>
      <c r="I30" s="137">
        <f>141099564-I32</f>
        <v>135785403</v>
      </c>
      <c r="J30" s="137">
        <f>59896129-J32</f>
        <v>54854378</v>
      </c>
      <c r="K30" s="137">
        <v>20511</v>
      </c>
      <c r="L30" s="137">
        <v>0</v>
      </c>
      <c r="M30" s="137">
        <v>0</v>
      </c>
      <c r="N30" s="137">
        <v>0</v>
      </c>
      <c r="O30" s="137">
        <v>0</v>
      </c>
      <c r="P30" s="137">
        <v>0</v>
      </c>
      <c r="Q30" s="137">
        <v>0</v>
      </c>
      <c r="R30" s="137">
        <v>0</v>
      </c>
      <c r="S30" s="137">
        <v>0</v>
      </c>
      <c r="T30" s="137">
        <v>0</v>
      </c>
      <c r="U30" s="137">
        <v>0</v>
      </c>
      <c r="V30" s="137">
        <v>0</v>
      </c>
      <c r="W30" s="137">
        <v>0</v>
      </c>
      <c r="X30" s="137">
        <v>0</v>
      </c>
      <c r="Y30" s="137">
        <v>0</v>
      </c>
    </row>
    <row r="31" spans="1:28" s="116" customFormat="1">
      <c r="A31" s="110"/>
      <c r="B31" s="111"/>
      <c r="C31" s="138"/>
      <c r="D31" s="202" t="s">
        <v>169</v>
      </c>
      <c r="E31" s="203"/>
      <c r="F31" s="113">
        <v>67914258</v>
      </c>
      <c r="G31" s="113">
        <v>105846095</v>
      </c>
      <c r="H31" s="113">
        <v>121612929</v>
      </c>
      <c r="I31" s="113">
        <v>74481846</v>
      </c>
      <c r="J31" s="113">
        <v>46991072</v>
      </c>
      <c r="K31" s="113">
        <v>0</v>
      </c>
      <c r="L31" s="113">
        <v>0</v>
      </c>
      <c r="M31" s="113">
        <v>0</v>
      </c>
      <c r="N31" s="113">
        <v>0</v>
      </c>
      <c r="O31" s="113">
        <v>0</v>
      </c>
      <c r="P31" s="113">
        <v>0</v>
      </c>
      <c r="Q31" s="113">
        <v>0</v>
      </c>
      <c r="R31" s="113">
        <v>0</v>
      </c>
      <c r="S31" s="113">
        <v>0</v>
      </c>
      <c r="T31" s="113">
        <v>0</v>
      </c>
      <c r="U31" s="113">
        <v>0</v>
      </c>
      <c r="V31" s="113">
        <v>0</v>
      </c>
      <c r="W31" s="113">
        <v>0</v>
      </c>
      <c r="X31" s="113">
        <v>0</v>
      </c>
      <c r="Y31" s="113">
        <v>0</v>
      </c>
    </row>
    <row r="32" spans="1:28" s="134" customFormat="1">
      <c r="A32" s="135"/>
      <c r="B32" s="136"/>
      <c r="C32" s="196" t="s">
        <v>170</v>
      </c>
      <c r="D32" s="196"/>
      <c r="E32" s="197"/>
      <c r="F32" s="137">
        <f>0</f>
        <v>0</v>
      </c>
      <c r="G32" s="137">
        <f>2158759</f>
        <v>2158759</v>
      </c>
      <c r="H32" s="137">
        <v>5735929</v>
      </c>
      <c r="I32" s="137">
        <v>5314161</v>
      </c>
      <c r="J32" s="137">
        <v>5041751</v>
      </c>
      <c r="K32" s="137">
        <v>4853906</v>
      </c>
      <c r="L32" s="137">
        <v>4530696</v>
      </c>
      <c r="M32" s="137">
        <v>4213767</v>
      </c>
      <c r="N32" s="137">
        <v>4008096</v>
      </c>
      <c r="O32" s="137">
        <v>3832791</v>
      </c>
      <c r="P32" s="137">
        <v>3503764</v>
      </c>
      <c r="Q32" s="137">
        <v>3282567</v>
      </c>
      <c r="R32" s="137">
        <v>1354225</v>
      </c>
      <c r="S32" s="137">
        <v>962658</v>
      </c>
      <c r="T32" s="137">
        <v>0</v>
      </c>
      <c r="U32" s="137">
        <v>0</v>
      </c>
      <c r="V32" s="137">
        <v>0</v>
      </c>
      <c r="W32" s="137">
        <v>0</v>
      </c>
      <c r="X32" s="137">
        <v>0</v>
      </c>
      <c r="Y32" s="137">
        <v>0</v>
      </c>
    </row>
    <row r="33" spans="1:28" s="134" customFormat="1">
      <c r="A33" s="135"/>
      <c r="B33" s="136"/>
      <c r="C33" s="196" t="s">
        <v>171</v>
      </c>
      <c r="D33" s="196"/>
      <c r="E33" s="197"/>
      <c r="F33" s="137">
        <f>6804930</f>
        <v>6804930</v>
      </c>
      <c r="G33" s="137">
        <f>20472823</f>
        <v>20472823</v>
      </c>
      <c r="H33" s="137">
        <f>'kwota długu'!G49</f>
        <v>16580328</v>
      </c>
      <c r="I33" s="137">
        <f>'kwota długu'!H49</f>
        <v>20955304</v>
      </c>
      <c r="J33" s="137">
        <f>'kwota długu'!I49</f>
        <v>19264067</v>
      </c>
      <c r="K33" s="137">
        <f>'kwota długu'!J49</f>
        <v>17572830</v>
      </c>
      <c r="L33" s="137">
        <f>'kwota długu'!K49</f>
        <v>15881593</v>
      </c>
      <c r="M33" s="137">
        <f>'kwota długu'!L49</f>
        <v>14190355</v>
      </c>
      <c r="N33" s="137">
        <f>'kwota długu'!M49</f>
        <v>12499118</v>
      </c>
      <c r="O33" s="137">
        <f>'kwota długu'!N49</f>
        <v>10807881</v>
      </c>
      <c r="P33" s="137">
        <f>'kwota długu'!O49</f>
        <v>9116644</v>
      </c>
      <c r="Q33" s="137">
        <f>'kwota długu'!P49</f>
        <v>7475300</v>
      </c>
      <c r="R33" s="137">
        <f>'kwota długu'!Q49</f>
        <v>5884251</v>
      </c>
      <c r="S33" s="137">
        <f>'kwota długu'!R49</f>
        <v>4615231</v>
      </c>
      <c r="T33" s="137">
        <f>'kwota długu'!S49</f>
        <v>3389529</v>
      </c>
      <c r="U33" s="137">
        <f>'kwota długu'!T49</f>
        <v>2264660</v>
      </c>
      <c r="V33" s="137">
        <f>'kwota długu'!U49</f>
        <v>1296689</v>
      </c>
      <c r="W33" s="137">
        <f>'kwota długu'!V49</f>
        <v>449717</v>
      </c>
      <c r="X33" s="137" t="e">
        <f>'kwota długu'!#REF!</f>
        <v>#REF!</v>
      </c>
      <c r="Y33" s="137" t="e">
        <f>'kwota długu'!#REF!</f>
        <v>#REF!</v>
      </c>
    </row>
    <row r="34" spans="1:28" s="134" customFormat="1">
      <c r="A34" s="135"/>
      <c r="B34" s="136"/>
      <c r="C34" s="196" t="s">
        <v>172</v>
      </c>
      <c r="D34" s="196"/>
      <c r="E34" s="197"/>
      <c r="F34" s="137">
        <v>61652322</v>
      </c>
      <c r="G34" s="137">
        <v>64393597</v>
      </c>
      <c r="H34" s="137">
        <v>52352000</v>
      </c>
      <c r="I34" s="137">
        <f>$H$34</f>
        <v>52352000</v>
      </c>
      <c r="J34" s="137">
        <f t="shared" ref="J34:Y34" si="12">$H$34</f>
        <v>52352000</v>
      </c>
      <c r="K34" s="137">
        <f t="shared" si="12"/>
        <v>52352000</v>
      </c>
      <c r="L34" s="137">
        <f t="shared" si="12"/>
        <v>52352000</v>
      </c>
      <c r="M34" s="137">
        <f t="shared" si="12"/>
        <v>52352000</v>
      </c>
      <c r="N34" s="137">
        <f t="shared" si="12"/>
        <v>52352000</v>
      </c>
      <c r="O34" s="137">
        <f t="shared" si="12"/>
        <v>52352000</v>
      </c>
      <c r="P34" s="137">
        <f t="shared" si="12"/>
        <v>52352000</v>
      </c>
      <c r="Q34" s="137">
        <f t="shared" si="12"/>
        <v>52352000</v>
      </c>
      <c r="R34" s="137">
        <f t="shared" si="12"/>
        <v>52352000</v>
      </c>
      <c r="S34" s="137">
        <f t="shared" si="12"/>
        <v>52352000</v>
      </c>
      <c r="T34" s="137">
        <f t="shared" si="12"/>
        <v>52352000</v>
      </c>
      <c r="U34" s="137">
        <f t="shared" si="12"/>
        <v>52352000</v>
      </c>
      <c r="V34" s="137">
        <f t="shared" si="12"/>
        <v>52352000</v>
      </c>
      <c r="W34" s="137">
        <f t="shared" si="12"/>
        <v>52352000</v>
      </c>
      <c r="X34" s="137">
        <f t="shared" si="12"/>
        <v>52352000</v>
      </c>
      <c r="Y34" s="137">
        <f t="shared" si="12"/>
        <v>52352000</v>
      </c>
    </row>
    <row r="35" spans="1:28" s="134" customFormat="1">
      <c r="A35" s="135"/>
      <c r="B35" s="136"/>
      <c r="C35" s="196" t="s">
        <v>173</v>
      </c>
      <c r="D35" s="196"/>
      <c r="E35" s="197"/>
      <c r="F35" s="139">
        <f>F24-F30-F32-F33-F34</f>
        <v>184032139</v>
      </c>
      <c r="G35" s="139">
        <f>G24-G30-G32-G33-G34</f>
        <v>240179185</v>
      </c>
      <c r="H35" s="137">
        <f>435035241-H30-H32-H33-H34</f>
        <v>176740484</v>
      </c>
      <c r="I35" s="137">
        <f>$H$35</f>
        <v>176740484</v>
      </c>
      <c r="J35" s="137">
        <f t="shared" ref="J35:Y35" si="13">$H$35</f>
        <v>176740484</v>
      </c>
      <c r="K35" s="137">
        <f t="shared" si="13"/>
        <v>176740484</v>
      </c>
      <c r="L35" s="137">
        <f t="shared" si="13"/>
        <v>176740484</v>
      </c>
      <c r="M35" s="137">
        <f t="shared" si="13"/>
        <v>176740484</v>
      </c>
      <c r="N35" s="137">
        <f t="shared" si="13"/>
        <v>176740484</v>
      </c>
      <c r="O35" s="137">
        <f t="shared" si="13"/>
        <v>176740484</v>
      </c>
      <c r="P35" s="137">
        <f t="shared" si="13"/>
        <v>176740484</v>
      </c>
      <c r="Q35" s="137">
        <f t="shared" si="13"/>
        <v>176740484</v>
      </c>
      <c r="R35" s="137">
        <f t="shared" si="13"/>
        <v>176740484</v>
      </c>
      <c r="S35" s="137">
        <f t="shared" si="13"/>
        <v>176740484</v>
      </c>
      <c r="T35" s="137">
        <f t="shared" si="13"/>
        <v>176740484</v>
      </c>
      <c r="U35" s="137">
        <f t="shared" si="13"/>
        <v>176740484</v>
      </c>
      <c r="V35" s="137">
        <f t="shared" si="13"/>
        <v>176740484</v>
      </c>
      <c r="W35" s="137">
        <f t="shared" si="13"/>
        <v>176740484</v>
      </c>
      <c r="X35" s="137">
        <f t="shared" si="13"/>
        <v>176740484</v>
      </c>
      <c r="Y35" s="137">
        <f t="shared" si="13"/>
        <v>176740484</v>
      </c>
    </row>
    <row r="36" spans="1:28" s="146" customFormat="1">
      <c r="A36" s="140"/>
      <c r="B36" s="141"/>
      <c r="C36" s="142"/>
      <c r="D36" s="143"/>
      <c r="E36" s="144" t="s">
        <v>157</v>
      </c>
      <c r="F36" s="145"/>
      <c r="G36" s="145"/>
      <c r="H36" s="145"/>
      <c r="I36" s="145">
        <f>SUM(I30,I32:I35)-I24</f>
        <v>-9503164</v>
      </c>
      <c r="J36" s="145">
        <f t="shared" ref="J36:Y36" si="14">SUM(J30,J32:J35)-J24</f>
        <v>-80894740</v>
      </c>
      <c r="K36" s="145">
        <f t="shared" si="14"/>
        <v>-57892808</v>
      </c>
      <c r="L36" s="145">
        <f t="shared" si="14"/>
        <v>-65403906</v>
      </c>
      <c r="M36" s="145">
        <f t="shared" si="14"/>
        <v>-72772320</v>
      </c>
      <c r="N36" s="145">
        <f t="shared" si="14"/>
        <v>-80200656</v>
      </c>
      <c r="O36" s="145">
        <f t="shared" si="14"/>
        <v>-87773998</v>
      </c>
      <c r="P36" s="145">
        <f t="shared" si="14"/>
        <v>-95680388</v>
      </c>
      <c r="Q36" s="145">
        <f t="shared" si="14"/>
        <v>-103662835</v>
      </c>
      <c r="R36" s="145">
        <f t="shared" si="14"/>
        <v>-113206039</v>
      </c>
      <c r="S36" s="145">
        <f t="shared" si="14"/>
        <v>-121078905</v>
      </c>
      <c r="T36" s="145">
        <f t="shared" si="14"/>
        <v>-129132847</v>
      </c>
      <c r="U36" s="145">
        <f t="shared" si="14"/>
        <v>-137372030</v>
      </c>
      <c r="V36" s="145">
        <f t="shared" si="14"/>
        <v>-145800714</v>
      </c>
      <c r="W36" s="145">
        <f t="shared" si="14"/>
        <v>-154048364</v>
      </c>
      <c r="X36" s="145" t="e">
        <f t="shared" si="14"/>
        <v>#REF!</v>
      </c>
      <c r="Y36" s="145" t="e">
        <f t="shared" si="14"/>
        <v>#REF!</v>
      </c>
    </row>
    <row r="37" spans="1:28" s="109" customFormat="1">
      <c r="A37" s="147"/>
      <c r="B37" s="207" t="s">
        <v>174</v>
      </c>
      <c r="C37" s="207"/>
      <c r="D37" s="207"/>
      <c r="E37" s="208"/>
      <c r="F37" s="148">
        <f>F38+F39+F43</f>
        <v>207947267</v>
      </c>
      <c r="G37" s="148">
        <f>G38+G39+G43</f>
        <v>364129519</v>
      </c>
      <c r="H37" s="148">
        <f>'kwota długu'!G23</f>
        <v>809319398</v>
      </c>
      <c r="I37" s="148">
        <f>'kwota długu'!H23</f>
        <v>563635872</v>
      </c>
      <c r="J37" s="148">
        <f>'kwota długu'!I23</f>
        <v>379828694</v>
      </c>
      <c r="K37" s="148">
        <f>'kwota długu'!J23</f>
        <v>224488894</v>
      </c>
      <c r="L37" s="148">
        <f>'kwota długu'!K23</f>
        <v>53012743</v>
      </c>
      <c r="M37" s="148">
        <f>'kwota długu'!L23</f>
        <v>61382433</v>
      </c>
      <c r="N37" s="148">
        <f>'kwota długu'!M23</f>
        <v>69777173</v>
      </c>
      <c r="O37" s="148">
        <f>'kwota długu'!N23</f>
        <v>78099384</v>
      </c>
      <c r="P37" s="148">
        <f>'kwota długu'!O23</f>
        <v>86835213</v>
      </c>
      <c r="Q37" s="148">
        <f>'kwota długu'!P23</f>
        <v>95422587</v>
      </c>
      <c r="R37" s="148">
        <f>'kwota długu'!Q23</f>
        <v>106766877</v>
      </c>
      <c r="S37" s="148">
        <f>'kwota długu'!R23</f>
        <v>115570290</v>
      </c>
      <c r="T37" s="148">
        <f>'kwota długu'!S23</f>
        <v>126022983</v>
      </c>
      <c r="U37" s="148">
        <f>'kwota długu'!T23</f>
        <v>136205192</v>
      </c>
      <c r="V37" s="148">
        <f>'kwota długu'!U23</f>
        <v>145861366</v>
      </c>
      <c r="W37" s="148">
        <f>'kwota długu'!V23</f>
        <v>160584475</v>
      </c>
      <c r="X37" s="148" t="e">
        <f>'kwota długu'!#REF!</f>
        <v>#REF!</v>
      </c>
      <c r="Y37" s="148" t="e">
        <f>'kwota długu'!#REF!</f>
        <v>#REF!</v>
      </c>
      <c r="Z37" s="149"/>
      <c r="AB37" s="149"/>
    </row>
    <row r="38" spans="1:28" s="134" customFormat="1">
      <c r="A38" s="131"/>
      <c r="B38" s="132"/>
      <c r="C38" s="209" t="s">
        <v>175</v>
      </c>
      <c r="D38" s="209"/>
      <c r="E38" s="210"/>
      <c r="F38" s="133">
        <f>207947267-165734566</f>
        <v>42212701</v>
      </c>
      <c r="G38" s="133">
        <f>364129519-344852133</f>
        <v>19277386</v>
      </c>
      <c r="H38" s="133">
        <f>H37-SUM(H39,H41:H43)</f>
        <v>2436832</v>
      </c>
      <c r="I38" s="133">
        <f>$H$38</f>
        <v>2436832</v>
      </c>
      <c r="J38" s="133">
        <f t="shared" ref="J38:Y38" si="15">$H$38</f>
        <v>2436832</v>
      </c>
      <c r="K38" s="133">
        <f t="shared" si="15"/>
        <v>2436832</v>
      </c>
      <c r="L38" s="133">
        <f t="shared" si="15"/>
        <v>2436832</v>
      </c>
      <c r="M38" s="133">
        <f t="shared" si="15"/>
        <v>2436832</v>
      </c>
      <c r="N38" s="133">
        <f t="shared" si="15"/>
        <v>2436832</v>
      </c>
      <c r="O38" s="133">
        <f t="shared" si="15"/>
        <v>2436832</v>
      </c>
      <c r="P38" s="133">
        <f t="shared" si="15"/>
        <v>2436832</v>
      </c>
      <c r="Q38" s="133">
        <f t="shared" si="15"/>
        <v>2436832</v>
      </c>
      <c r="R38" s="133">
        <f t="shared" si="15"/>
        <v>2436832</v>
      </c>
      <c r="S38" s="133">
        <f t="shared" si="15"/>
        <v>2436832</v>
      </c>
      <c r="T38" s="133">
        <f t="shared" si="15"/>
        <v>2436832</v>
      </c>
      <c r="U38" s="133">
        <f t="shared" si="15"/>
        <v>2436832</v>
      </c>
      <c r="V38" s="133">
        <f t="shared" si="15"/>
        <v>2436832</v>
      </c>
      <c r="W38" s="133">
        <f t="shared" si="15"/>
        <v>2436832</v>
      </c>
      <c r="X38" s="133">
        <f t="shared" si="15"/>
        <v>2436832</v>
      </c>
      <c r="Y38" s="133">
        <f t="shared" si="15"/>
        <v>2436832</v>
      </c>
    </row>
    <row r="39" spans="1:28" s="134" customFormat="1">
      <c r="A39" s="135"/>
      <c r="B39" s="136"/>
      <c r="C39" s="196" t="s">
        <v>176</v>
      </c>
      <c r="D39" s="196"/>
      <c r="E39" s="197"/>
      <c r="F39" s="137">
        <v>165734566</v>
      </c>
      <c r="G39" s="137">
        <v>344852133</v>
      </c>
      <c r="H39" s="137">
        <v>777338566</v>
      </c>
      <c r="I39" s="137">
        <f>544249469-39584000</f>
        <v>504665469</v>
      </c>
      <c r="J39" s="137">
        <v>214629298</v>
      </c>
      <c r="K39" s="137">
        <v>1000000</v>
      </c>
      <c r="L39" s="137">
        <v>0</v>
      </c>
      <c r="M39" s="137">
        <v>0</v>
      </c>
      <c r="N39" s="137">
        <v>0</v>
      </c>
      <c r="O39" s="137">
        <v>0</v>
      </c>
      <c r="P39" s="137">
        <v>0</v>
      </c>
      <c r="Q39" s="137">
        <v>0</v>
      </c>
      <c r="R39" s="137">
        <v>0</v>
      </c>
      <c r="S39" s="137">
        <v>0</v>
      </c>
      <c r="T39" s="137">
        <v>0</v>
      </c>
      <c r="U39" s="137">
        <v>0</v>
      </c>
      <c r="V39" s="137">
        <v>0</v>
      </c>
      <c r="W39" s="137">
        <v>0</v>
      </c>
      <c r="X39" s="137">
        <v>0</v>
      </c>
      <c r="Y39" s="137">
        <v>0</v>
      </c>
    </row>
    <row r="40" spans="1:28" s="116" customFormat="1">
      <c r="A40" s="110"/>
      <c r="B40" s="111"/>
      <c r="C40" s="150"/>
      <c r="D40" s="202" t="s">
        <v>169</v>
      </c>
      <c r="E40" s="203"/>
      <c r="F40" s="113">
        <v>127432146</v>
      </c>
      <c r="G40" s="113">
        <v>291484369</v>
      </c>
      <c r="H40" s="113">
        <v>750078070</v>
      </c>
      <c r="I40" s="113">
        <f>521853938-39584000</f>
        <v>482269938</v>
      </c>
      <c r="J40" s="113">
        <f>201774180-25219668</f>
        <v>176554512</v>
      </c>
      <c r="K40" s="113">
        <v>1000000</v>
      </c>
      <c r="L40" s="113">
        <v>0</v>
      </c>
      <c r="M40" s="113">
        <v>0</v>
      </c>
      <c r="N40" s="113">
        <v>0</v>
      </c>
      <c r="O40" s="113">
        <v>0</v>
      </c>
      <c r="P40" s="113">
        <v>0</v>
      </c>
      <c r="Q40" s="113">
        <v>0</v>
      </c>
      <c r="R40" s="113">
        <v>0</v>
      </c>
      <c r="S40" s="113">
        <v>0</v>
      </c>
      <c r="T40" s="113">
        <v>0</v>
      </c>
      <c r="U40" s="113">
        <v>0</v>
      </c>
      <c r="V40" s="113">
        <v>0</v>
      </c>
      <c r="W40" s="113">
        <v>0</v>
      </c>
      <c r="X40" s="113">
        <v>0</v>
      </c>
      <c r="Y40" s="113">
        <v>0</v>
      </c>
    </row>
    <row r="41" spans="1:28" s="153" customFormat="1">
      <c r="A41" s="151"/>
      <c r="B41" s="152"/>
      <c r="C41" s="196" t="s">
        <v>177</v>
      </c>
      <c r="D41" s="196"/>
      <c r="E41" s="197"/>
      <c r="F41" s="137">
        <v>2287000</v>
      </c>
      <c r="G41" s="137">
        <v>16204570</v>
      </c>
      <c r="H41" s="137">
        <v>12500000</v>
      </c>
      <c r="I41" s="137">
        <v>12000000</v>
      </c>
      <c r="J41" s="137">
        <v>12000000</v>
      </c>
      <c r="K41" s="137">
        <v>12000000</v>
      </c>
      <c r="L41" s="137">
        <v>12000000</v>
      </c>
      <c r="M41" s="137">
        <v>12000000</v>
      </c>
      <c r="N41" s="137">
        <v>12000000</v>
      </c>
      <c r="O41" s="137">
        <v>12000000</v>
      </c>
      <c r="P41" s="137">
        <v>12000000</v>
      </c>
      <c r="Q41" s="137">
        <v>12000000</v>
      </c>
      <c r="R41" s="137">
        <v>12000000</v>
      </c>
      <c r="S41" s="137">
        <v>12000000</v>
      </c>
      <c r="T41" s="137">
        <v>12000000</v>
      </c>
      <c r="U41" s="137">
        <v>12000000</v>
      </c>
      <c r="V41" s="137">
        <v>12000000</v>
      </c>
      <c r="W41" s="137"/>
      <c r="X41" s="137"/>
      <c r="Y41" s="137">
        <v>0</v>
      </c>
    </row>
    <row r="42" spans="1:28" s="153" customFormat="1">
      <c r="A42" s="151"/>
      <c r="B42" s="152"/>
      <c r="C42" s="196" t="s">
        <v>178</v>
      </c>
      <c r="D42" s="196"/>
      <c r="E42" s="197"/>
      <c r="F42" s="137">
        <v>14940628</v>
      </c>
      <c r="G42" s="137">
        <v>16324000</v>
      </c>
      <c r="H42" s="137">
        <v>17044000</v>
      </c>
      <c r="I42" s="137">
        <v>39584000</v>
      </c>
      <c r="J42" s="137">
        <v>25219668</v>
      </c>
      <c r="K42" s="137">
        <f t="shared" ref="K42:Y42" si="16">$H$43</f>
        <v>0</v>
      </c>
      <c r="L42" s="137">
        <f t="shared" si="16"/>
        <v>0</v>
      </c>
      <c r="M42" s="137">
        <f t="shared" si="16"/>
        <v>0</v>
      </c>
      <c r="N42" s="137">
        <f t="shared" si="16"/>
        <v>0</v>
      </c>
      <c r="O42" s="137">
        <f t="shared" si="16"/>
        <v>0</v>
      </c>
      <c r="P42" s="137">
        <f t="shared" si="16"/>
        <v>0</v>
      </c>
      <c r="Q42" s="137">
        <f t="shared" si="16"/>
        <v>0</v>
      </c>
      <c r="R42" s="137">
        <f t="shared" si="16"/>
        <v>0</v>
      </c>
      <c r="S42" s="137">
        <f t="shared" si="16"/>
        <v>0</v>
      </c>
      <c r="T42" s="137">
        <f t="shared" si="16"/>
        <v>0</v>
      </c>
      <c r="U42" s="137">
        <f t="shared" si="16"/>
        <v>0</v>
      </c>
      <c r="V42" s="137">
        <f t="shared" si="16"/>
        <v>0</v>
      </c>
      <c r="W42" s="137">
        <f t="shared" si="16"/>
        <v>0</v>
      </c>
      <c r="X42" s="137">
        <f t="shared" si="16"/>
        <v>0</v>
      </c>
      <c r="Y42" s="137">
        <f t="shared" si="16"/>
        <v>0</v>
      </c>
    </row>
    <row r="43" spans="1:28" s="157" customFormat="1">
      <c r="A43" s="154"/>
      <c r="B43" s="155"/>
      <c r="C43" s="156"/>
      <c r="D43" s="156"/>
      <c r="E43" s="144" t="s">
        <v>157</v>
      </c>
      <c r="F43" s="145"/>
      <c r="G43" s="145"/>
      <c r="H43" s="145"/>
      <c r="I43" s="145">
        <f>SUM(I38:I39,I41:I42)-I37</f>
        <v>-4949571</v>
      </c>
      <c r="J43" s="145">
        <f t="shared" ref="J43:Y43" si="17">SUM(J38:J39,J41:J42)-J37</f>
        <v>-125542896</v>
      </c>
      <c r="K43" s="145">
        <f t="shared" si="17"/>
        <v>-209052062</v>
      </c>
      <c r="L43" s="145">
        <f t="shared" si="17"/>
        <v>-38575911</v>
      </c>
      <c r="M43" s="145">
        <f t="shared" si="17"/>
        <v>-46945601</v>
      </c>
      <c r="N43" s="145">
        <f t="shared" si="17"/>
        <v>-55340341</v>
      </c>
      <c r="O43" s="145">
        <f t="shared" si="17"/>
        <v>-63662552</v>
      </c>
      <c r="P43" s="145">
        <f t="shared" si="17"/>
        <v>-72398381</v>
      </c>
      <c r="Q43" s="145">
        <f t="shared" si="17"/>
        <v>-80985755</v>
      </c>
      <c r="R43" s="145">
        <f t="shared" si="17"/>
        <v>-92330045</v>
      </c>
      <c r="S43" s="145">
        <f t="shared" si="17"/>
        <v>-101133458</v>
      </c>
      <c r="T43" s="145">
        <f t="shared" si="17"/>
        <v>-111586151</v>
      </c>
      <c r="U43" s="145">
        <f t="shared" si="17"/>
        <v>-121768360</v>
      </c>
      <c r="V43" s="145">
        <f t="shared" si="17"/>
        <v>-131424534</v>
      </c>
      <c r="W43" s="145">
        <f t="shared" si="17"/>
        <v>-158147643</v>
      </c>
      <c r="X43" s="145" t="e">
        <f t="shared" si="17"/>
        <v>#REF!</v>
      </c>
      <c r="Y43" s="145" t="e">
        <f t="shared" si="17"/>
        <v>#REF!</v>
      </c>
    </row>
    <row r="44" spans="1:28" s="90" customFormat="1">
      <c r="A44" s="89"/>
      <c r="B44" s="89"/>
      <c r="C44" s="89"/>
      <c r="D44" s="89"/>
      <c r="E44" s="89"/>
    </row>
    <row r="45" spans="1:28" s="99" customFormat="1">
      <c r="A45" s="158"/>
      <c r="B45" s="159"/>
      <c r="C45" s="159"/>
      <c r="D45" s="159"/>
      <c r="E45" s="160" t="s">
        <v>179</v>
      </c>
      <c r="F45" s="161">
        <f t="shared" ref="F45:Y45" si="18">F7-F24</f>
        <v>48516362</v>
      </c>
      <c r="G45" s="161">
        <f t="shared" si="18"/>
        <v>29041692</v>
      </c>
      <c r="H45" s="161">
        <f t="shared" si="18"/>
        <v>42495481</v>
      </c>
      <c r="I45" s="162">
        <f t="shared" si="18"/>
        <v>95992381</v>
      </c>
      <c r="J45" s="162">
        <f t="shared" si="18"/>
        <v>102151207</v>
      </c>
      <c r="K45" s="162">
        <f t="shared" si="18"/>
        <v>76574629</v>
      </c>
      <c r="L45" s="162">
        <f t="shared" si="18"/>
        <v>54141340</v>
      </c>
      <c r="M45" s="162">
        <f t="shared" si="18"/>
        <v>61572129</v>
      </c>
      <c r="N45" s="162">
        <f t="shared" si="18"/>
        <v>69022871</v>
      </c>
      <c r="O45" s="162">
        <f t="shared" si="18"/>
        <v>76397697</v>
      </c>
      <c r="P45" s="162">
        <f t="shared" si="18"/>
        <v>83359856</v>
      </c>
      <c r="Q45" s="162">
        <f t="shared" si="18"/>
        <v>90167152</v>
      </c>
      <c r="R45" s="162">
        <f t="shared" si="18"/>
        <v>95242029</v>
      </c>
      <c r="S45" s="162">
        <f t="shared" si="18"/>
        <v>102354431</v>
      </c>
      <c r="T45" s="162">
        <f t="shared" si="18"/>
        <v>110136200</v>
      </c>
      <c r="U45" s="162">
        <f t="shared" si="18"/>
        <v>116725161</v>
      </c>
      <c r="V45" s="162">
        <f t="shared" si="18"/>
        <v>123352428</v>
      </c>
      <c r="W45" s="162">
        <f t="shared" si="18"/>
        <v>130450596</v>
      </c>
      <c r="X45" s="162" t="e">
        <f t="shared" si="18"/>
        <v>#REF!</v>
      </c>
      <c r="Y45" s="162" t="e">
        <f t="shared" si="18"/>
        <v>#REF!</v>
      </c>
    </row>
    <row r="46" spans="1:28" s="99" customFormat="1">
      <c r="A46" s="163"/>
      <c r="B46" s="164"/>
      <c r="C46" s="164"/>
      <c r="D46" s="164"/>
      <c r="E46" s="165" t="s">
        <v>180</v>
      </c>
      <c r="F46" s="162">
        <f t="shared" ref="F46:Y46" si="19">F6-F23</f>
        <v>-20302576</v>
      </c>
      <c r="G46" s="162">
        <f t="shared" si="19"/>
        <v>-72152190</v>
      </c>
      <c r="H46" s="162">
        <f t="shared" si="19"/>
        <v>-90979000</v>
      </c>
      <c r="I46" s="162">
        <f t="shared" si="19"/>
        <v>27954333</v>
      </c>
      <c r="J46" s="162">
        <f t="shared" si="19"/>
        <v>27954333</v>
      </c>
      <c r="K46" s="162">
        <f t="shared" si="19"/>
        <v>27954333</v>
      </c>
      <c r="L46" s="162">
        <f t="shared" si="19"/>
        <v>27954333</v>
      </c>
      <c r="M46" s="162">
        <f t="shared" si="19"/>
        <v>27954333</v>
      </c>
      <c r="N46" s="162">
        <f t="shared" si="19"/>
        <v>27954333</v>
      </c>
      <c r="O46" s="162">
        <f t="shared" si="19"/>
        <v>27954333</v>
      </c>
      <c r="P46" s="162">
        <f t="shared" si="19"/>
        <v>27129656</v>
      </c>
      <c r="Q46" s="162">
        <f t="shared" si="19"/>
        <v>26298333</v>
      </c>
      <c r="R46" s="162">
        <f t="shared" si="19"/>
        <v>20975533</v>
      </c>
      <c r="S46" s="162">
        <f t="shared" si="19"/>
        <v>20259533</v>
      </c>
      <c r="T46" s="162">
        <f t="shared" si="19"/>
        <v>18592871</v>
      </c>
      <c r="U46" s="162">
        <f t="shared" si="19"/>
        <v>15999533</v>
      </c>
      <c r="V46" s="162">
        <f t="shared" si="19"/>
        <v>13999533</v>
      </c>
      <c r="W46" s="162">
        <f t="shared" si="19"/>
        <v>7433338</v>
      </c>
      <c r="X46" s="162" t="e">
        <f t="shared" si="19"/>
        <v>#REF!</v>
      </c>
      <c r="Y46" s="162" t="e">
        <f t="shared" si="19"/>
        <v>#REF!</v>
      </c>
    </row>
    <row r="47" spans="1:28" s="90" customFormat="1">
      <c r="A47" s="89"/>
      <c r="B47" s="89"/>
      <c r="C47" s="89"/>
      <c r="D47" s="89"/>
      <c r="E47" s="89"/>
      <c r="G47" s="166"/>
      <c r="H47" s="166"/>
    </row>
    <row r="48" spans="1:28" s="90" customFormat="1">
      <c r="A48" s="89"/>
      <c r="B48" s="89"/>
      <c r="C48" s="89"/>
      <c r="D48" s="89"/>
      <c r="E48" s="89" t="s">
        <v>181</v>
      </c>
      <c r="G48" s="166"/>
    </row>
    <row r="49" spans="1:25" s="90" customFormat="1">
      <c r="A49" s="167"/>
      <c r="B49" s="168"/>
      <c r="C49" s="168"/>
      <c r="D49" s="168"/>
      <c r="E49" s="169" t="s">
        <v>182</v>
      </c>
      <c r="F49" s="170">
        <f t="shared" ref="F49:Y49" si="20">F8-F30</f>
        <v>-55833831</v>
      </c>
      <c r="G49" s="170">
        <f t="shared" si="20"/>
        <v>-3017669</v>
      </c>
      <c r="H49" s="170">
        <f t="shared" si="20"/>
        <v>-54428337</v>
      </c>
      <c r="I49" s="170">
        <f t="shared" si="20"/>
        <v>-57730903</v>
      </c>
      <c r="J49" s="170">
        <f t="shared" si="20"/>
        <v>-9314426</v>
      </c>
      <c r="K49" s="170">
        <f t="shared" si="20"/>
        <v>1838314</v>
      </c>
      <c r="L49" s="170">
        <f t="shared" si="20"/>
        <v>1938542</v>
      </c>
      <c r="M49" s="170">
        <f t="shared" si="20"/>
        <v>2070233</v>
      </c>
      <c r="N49" s="170">
        <f t="shared" si="20"/>
        <v>2155292</v>
      </c>
      <c r="O49" s="170">
        <f t="shared" si="20"/>
        <v>2242848</v>
      </c>
      <c r="P49" s="170">
        <f t="shared" si="20"/>
        <v>2291255</v>
      </c>
      <c r="Q49" s="170">
        <f t="shared" si="20"/>
        <v>2319939</v>
      </c>
      <c r="R49" s="170">
        <f t="shared" si="20"/>
        <v>2329576</v>
      </c>
      <c r="S49" s="170">
        <f t="shared" si="20"/>
        <v>2332822</v>
      </c>
      <c r="T49" s="170">
        <f t="shared" si="20"/>
        <v>2270587</v>
      </c>
      <c r="U49" s="170">
        <f t="shared" si="20"/>
        <v>2311368</v>
      </c>
      <c r="V49" s="170">
        <f t="shared" si="20"/>
        <v>2350040</v>
      </c>
      <c r="W49" s="170">
        <f t="shared" si="20"/>
        <v>2389829</v>
      </c>
      <c r="X49" s="170">
        <f t="shared" si="20"/>
        <v>2425358</v>
      </c>
      <c r="Y49" s="170">
        <f t="shared" si="20"/>
        <v>0</v>
      </c>
    </row>
    <row r="50" spans="1:25" s="90" customFormat="1">
      <c r="A50" s="167"/>
      <c r="B50" s="168"/>
      <c r="C50" s="168"/>
      <c r="D50" s="168"/>
      <c r="E50" s="169" t="s">
        <v>183</v>
      </c>
      <c r="F50" s="170">
        <f t="shared" ref="F50:Y50" si="21">F16-F39</f>
        <v>-67739547</v>
      </c>
      <c r="G50" s="170">
        <f t="shared" si="21"/>
        <v>-149418476</v>
      </c>
      <c r="H50" s="170">
        <f t="shared" si="21"/>
        <v>-133423373</v>
      </c>
      <c r="I50" s="170">
        <f t="shared" si="21"/>
        <v>-79004197</v>
      </c>
      <c r="J50" s="170">
        <f t="shared" si="21"/>
        <v>-73436475</v>
      </c>
      <c r="K50" s="170">
        <f t="shared" si="21"/>
        <v>-1000000</v>
      </c>
      <c r="L50" s="170">
        <f t="shared" si="21"/>
        <v>0</v>
      </c>
      <c r="M50" s="170">
        <f t="shared" si="21"/>
        <v>0</v>
      </c>
      <c r="N50" s="170">
        <f t="shared" si="21"/>
        <v>0</v>
      </c>
      <c r="O50" s="170">
        <f t="shared" si="21"/>
        <v>0</v>
      </c>
      <c r="P50" s="170">
        <f t="shared" si="21"/>
        <v>0</v>
      </c>
      <c r="Q50" s="170">
        <f t="shared" si="21"/>
        <v>0</v>
      </c>
      <c r="R50" s="170">
        <f t="shared" si="21"/>
        <v>0</v>
      </c>
      <c r="S50" s="170">
        <f t="shared" si="21"/>
        <v>0</v>
      </c>
      <c r="T50" s="170">
        <f t="shared" si="21"/>
        <v>0</v>
      </c>
      <c r="U50" s="170">
        <f t="shared" si="21"/>
        <v>0</v>
      </c>
      <c r="V50" s="170">
        <f t="shared" si="21"/>
        <v>0</v>
      </c>
      <c r="W50" s="170">
        <f t="shared" si="21"/>
        <v>0</v>
      </c>
      <c r="X50" s="170">
        <f t="shared" si="21"/>
        <v>0</v>
      </c>
      <c r="Y50" s="170">
        <f t="shared" si="21"/>
        <v>0</v>
      </c>
    </row>
    <row r="51" spans="1:25" s="173" customFormat="1">
      <c r="A51" s="171"/>
      <c r="B51" s="171"/>
      <c r="C51" s="171"/>
      <c r="D51" s="171"/>
      <c r="E51" s="171"/>
      <c r="F51" s="172">
        <f>SUM(F49:F50)</f>
        <v>-123573378</v>
      </c>
      <c r="G51" s="172">
        <f t="shared" ref="G51:Y51" si="22">SUM(G49:G50)</f>
        <v>-152436145</v>
      </c>
      <c r="H51" s="172">
        <f t="shared" si="22"/>
        <v>-187851710</v>
      </c>
      <c r="I51" s="172">
        <f t="shared" si="22"/>
        <v>-136735100</v>
      </c>
      <c r="J51" s="172">
        <f t="shared" si="22"/>
        <v>-82750901</v>
      </c>
      <c r="K51" s="172">
        <f t="shared" si="22"/>
        <v>838314</v>
      </c>
      <c r="L51" s="172">
        <f t="shared" si="22"/>
        <v>1938542</v>
      </c>
      <c r="M51" s="172">
        <f t="shared" si="22"/>
        <v>2070233</v>
      </c>
      <c r="N51" s="172">
        <f t="shared" si="22"/>
        <v>2155292</v>
      </c>
      <c r="O51" s="172">
        <f t="shared" si="22"/>
        <v>2242848</v>
      </c>
      <c r="P51" s="172">
        <f t="shared" si="22"/>
        <v>2291255</v>
      </c>
      <c r="Q51" s="172">
        <f t="shared" si="22"/>
        <v>2319939</v>
      </c>
      <c r="R51" s="172">
        <f t="shared" si="22"/>
        <v>2329576</v>
      </c>
      <c r="S51" s="172">
        <f t="shared" si="22"/>
        <v>2332822</v>
      </c>
      <c r="T51" s="172">
        <f t="shared" si="22"/>
        <v>2270587</v>
      </c>
      <c r="U51" s="172">
        <f t="shared" si="22"/>
        <v>2311368</v>
      </c>
      <c r="V51" s="172">
        <f t="shared" si="22"/>
        <v>2350040</v>
      </c>
      <c r="W51" s="172">
        <f t="shared" si="22"/>
        <v>2389829</v>
      </c>
      <c r="X51" s="172">
        <f t="shared" si="22"/>
        <v>2425358</v>
      </c>
      <c r="Y51" s="172">
        <f t="shared" si="22"/>
        <v>0</v>
      </c>
    </row>
    <row r="52" spans="1:25" s="90" customFormat="1">
      <c r="A52" s="89"/>
      <c r="B52" s="89"/>
      <c r="C52" s="89"/>
      <c r="D52" s="89"/>
      <c r="E52" s="89"/>
      <c r="G52" s="166"/>
    </row>
    <row r="53" spans="1:25" s="90" customFormat="1">
      <c r="A53" s="89"/>
      <c r="B53" s="89"/>
      <c r="C53" s="89"/>
      <c r="D53" s="89"/>
      <c r="E53" s="89"/>
      <c r="G53" s="166"/>
    </row>
    <row r="54" spans="1:25" s="90" customFormat="1">
      <c r="A54" s="89"/>
      <c r="B54" s="89"/>
      <c r="C54" s="89"/>
      <c r="D54" s="89"/>
      <c r="E54" s="89"/>
      <c r="G54" s="166"/>
    </row>
    <row r="55" spans="1:25" s="90" customFormat="1">
      <c r="A55" s="89"/>
      <c r="B55" s="89"/>
      <c r="C55" s="89"/>
      <c r="D55" s="89"/>
      <c r="E55" s="89"/>
      <c r="G55" s="166"/>
    </row>
    <row r="56" spans="1:25" s="173" customFormat="1" ht="18" customHeight="1">
      <c r="A56" s="171"/>
      <c r="B56" s="206" t="s">
        <v>184</v>
      </c>
      <c r="C56" s="206"/>
      <c r="D56" s="206"/>
      <c r="E56" s="206"/>
      <c r="G56" s="174">
        <f>G24-G26-G30-G32-G33</f>
        <v>216869348</v>
      </c>
      <c r="H56" s="174"/>
    </row>
    <row r="57" spans="1:25" s="176" customFormat="1">
      <c r="A57" s="175"/>
      <c r="B57" s="175"/>
      <c r="C57" s="175"/>
      <c r="D57" s="175" t="s">
        <v>185</v>
      </c>
      <c r="E57" s="175"/>
      <c r="F57" s="175"/>
      <c r="H57" s="177"/>
    </row>
    <row r="58" spans="1:25" s="176" customFormat="1">
      <c r="A58" s="175"/>
      <c r="B58" s="175"/>
      <c r="C58" s="175"/>
      <c r="D58" s="175"/>
      <c r="E58" s="175" t="s">
        <v>186</v>
      </c>
      <c r="H58" s="178">
        <f>H56+H57</f>
        <v>0</v>
      </c>
    </row>
    <row r="61" spans="1:25">
      <c r="H61" s="180">
        <f>ROUND(H49/H6,4)</f>
        <v>-4.7100000000000003E-2</v>
      </c>
    </row>
  </sheetData>
  <mergeCells count="31">
    <mergeCell ref="B56:E56"/>
    <mergeCell ref="B37:E37"/>
    <mergeCell ref="C38:E38"/>
    <mergeCell ref="C39:E39"/>
    <mergeCell ref="D40:E40"/>
    <mergeCell ref="C41:E41"/>
    <mergeCell ref="C42:E42"/>
    <mergeCell ref="C35:E35"/>
    <mergeCell ref="B24:E24"/>
    <mergeCell ref="C25:E25"/>
    <mergeCell ref="D26:E26"/>
    <mergeCell ref="D27:E27"/>
    <mergeCell ref="C28:E28"/>
    <mergeCell ref="C29:E29"/>
    <mergeCell ref="C30:E30"/>
    <mergeCell ref="D31:E31"/>
    <mergeCell ref="C32:E32"/>
    <mergeCell ref="C33:E33"/>
    <mergeCell ref="C34:E34"/>
    <mergeCell ref="A23:E23"/>
    <mergeCell ref="A4:E5"/>
    <mergeCell ref="F4:L4"/>
    <mergeCell ref="M4:T4"/>
    <mergeCell ref="U4:Y4"/>
    <mergeCell ref="A6:E6"/>
    <mergeCell ref="B7:E7"/>
    <mergeCell ref="B15:E15"/>
    <mergeCell ref="A21:E22"/>
    <mergeCell ref="F21:L21"/>
    <mergeCell ref="M21:T21"/>
    <mergeCell ref="U21:Y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W85"/>
  <sheetViews>
    <sheetView tabSelected="1" view="pageBreakPreview" topLeftCell="B1" zoomScaleNormal="100" zoomScaleSheetLayoutView="100" workbookViewId="0">
      <selection activeCell="H23" sqref="H23"/>
    </sheetView>
  </sheetViews>
  <sheetFormatPr defaultColWidth="11.5703125" defaultRowHeight="12.75"/>
  <cols>
    <col min="1" max="1" width="4.5703125" style="214" hidden="1" customWidth="1"/>
    <col min="2" max="2" width="38.5703125" style="214" customWidth="1"/>
    <col min="3" max="3" width="10.5703125" style="214" hidden="1" customWidth="1"/>
    <col min="4" max="4" width="12.7109375" style="214" customWidth="1"/>
    <col min="5" max="6" width="12.42578125" style="214" customWidth="1"/>
    <col min="7" max="7" width="13.85546875" style="214" customWidth="1"/>
    <col min="8" max="10" width="12.5703125" style="214" customWidth="1"/>
    <col min="11" max="11" width="12.85546875" style="214" customWidth="1"/>
    <col min="12" max="13" width="12.42578125" style="214" bestFit="1" customWidth="1"/>
    <col min="14" max="14" width="12.28515625" style="214" customWidth="1"/>
    <col min="15" max="18" width="12.42578125" style="214" bestFit="1" customWidth="1"/>
    <col min="19" max="19" width="12.28515625" style="214" customWidth="1"/>
    <col min="20" max="22" width="12.42578125" style="214" bestFit="1" customWidth="1"/>
    <col min="23" max="16384" width="11.5703125" style="214"/>
  </cols>
  <sheetData>
    <row r="1" spans="2:22">
      <c r="R1" s="214" t="s">
        <v>50</v>
      </c>
    </row>
    <row r="2" spans="2:22">
      <c r="R2" s="214" t="s">
        <v>125</v>
      </c>
    </row>
    <row r="3" spans="2:22">
      <c r="R3" s="214" t="s">
        <v>123</v>
      </c>
    </row>
    <row r="4" spans="2:22">
      <c r="R4" s="214" t="s">
        <v>124</v>
      </c>
    </row>
    <row r="5" spans="2:22">
      <c r="R5" s="214" t="s">
        <v>197</v>
      </c>
    </row>
    <row r="6" spans="2:22" s="215" customFormat="1" ht="15" customHeight="1">
      <c r="R6" s="214" t="s">
        <v>196</v>
      </c>
      <c r="S6" s="214"/>
    </row>
    <row r="7" spans="2:22" s="215" customFormat="1" ht="15" customHeight="1">
      <c r="R7" s="214" t="s">
        <v>198</v>
      </c>
      <c r="S7" s="214"/>
      <c r="T7" s="216"/>
    </row>
    <row r="8" spans="2:22" s="215" customFormat="1" ht="15" customHeight="1">
      <c r="S8" s="216"/>
      <c r="T8" s="216"/>
      <c r="U8" s="217"/>
      <c r="V8" s="217"/>
    </row>
    <row r="9" spans="2:22" s="215" customFormat="1" ht="15" customHeight="1">
      <c r="S9" s="216"/>
      <c r="T9" s="216"/>
      <c r="U9" s="217"/>
      <c r="V9" s="217"/>
    </row>
    <row r="10" spans="2:22" s="215" customFormat="1" ht="15" customHeight="1">
      <c r="S10" s="216"/>
      <c r="T10" s="216"/>
      <c r="U10" s="217"/>
      <c r="V10" s="217"/>
    </row>
    <row r="11" spans="2:22">
      <c r="S11" s="218"/>
      <c r="T11" s="218"/>
      <c r="U11" s="218"/>
    </row>
    <row r="12" spans="2:22" s="215" customFormat="1" ht="27" customHeight="1">
      <c r="B12" s="219" t="s">
        <v>199</v>
      </c>
      <c r="C12" s="219"/>
      <c r="D12" s="219"/>
      <c r="E12" s="219"/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20"/>
      <c r="V12" s="220"/>
    </row>
    <row r="13" spans="2:22" ht="13.5" thickBot="1"/>
    <row r="14" spans="2:22" ht="51.75" customHeight="1" thickTop="1" thickBot="1">
      <c r="B14" s="221" t="s">
        <v>47</v>
      </c>
      <c r="C14" s="222" t="s">
        <v>51</v>
      </c>
      <c r="D14" s="222" t="s">
        <v>70</v>
      </c>
      <c r="E14" s="222" t="s">
        <v>200</v>
      </c>
      <c r="F14" s="222" t="s">
        <v>188</v>
      </c>
      <c r="G14" s="222" t="s">
        <v>48</v>
      </c>
      <c r="H14" s="222" t="s">
        <v>49</v>
      </c>
      <c r="I14" s="222" t="s">
        <v>54</v>
      </c>
      <c r="J14" s="222" t="s">
        <v>55</v>
      </c>
      <c r="K14" s="222" t="s">
        <v>56</v>
      </c>
      <c r="L14" s="222" t="s">
        <v>57</v>
      </c>
      <c r="M14" s="222" t="s">
        <v>58</v>
      </c>
      <c r="N14" s="222" t="s">
        <v>59</v>
      </c>
      <c r="O14" s="222" t="s">
        <v>60</v>
      </c>
      <c r="P14" s="222" t="s">
        <v>61</v>
      </c>
      <c r="Q14" s="222" t="s">
        <v>62</v>
      </c>
      <c r="R14" s="222" t="s">
        <v>63</v>
      </c>
      <c r="S14" s="222" t="s">
        <v>64</v>
      </c>
      <c r="T14" s="222" t="s">
        <v>65</v>
      </c>
      <c r="U14" s="222" t="s">
        <v>67</v>
      </c>
      <c r="V14" s="222" t="s">
        <v>68</v>
      </c>
    </row>
    <row r="15" spans="2:22" s="226" customFormat="1" ht="30.75" customHeight="1" thickBot="1">
      <c r="B15" s="223" t="s">
        <v>0</v>
      </c>
      <c r="C15" s="224">
        <f t="shared" ref="C15:V15" si="0">SUM(C16:C17)</f>
        <v>785243026</v>
      </c>
      <c r="D15" s="224">
        <f t="shared" si="0"/>
        <v>520397938</v>
      </c>
      <c r="E15" s="224">
        <f t="shared" ref="E15:J15" si="1">SUM(E16:E17)</f>
        <v>557864978</v>
      </c>
      <c r="F15" s="224">
        <f>SUM(F16:F17)</f>
        <v>725509973</v>
      </c>
      <c r="G15" s="224">
        <f t="shared" si="1"/>
        <v>1155944662</v>
      </c>
      <c r="H15" s="224">
        <f t="shared" si="1"/>
        <v>992240721</v>
      </c>
      <c r="I15" s="224">
        <f t="shared" si="1"/>
        <v>796930447</v>
      </c>
      <c r="J15" s="224">
        <f t="shared" si="1"/>
        <v>561875766</v>
      </c>
      <c r="K15" s="224">
        <f t="shared" si="0"/>
        <v>395875755</v>
      </c>
      <c r="L15" s="224">
        <f t="shared" si="0"/>
        <v>409605692</v>
      </c>
      <c r="M15" s="224">
        <f t="shared" si="0"/>
        <v>423531860</v>
      </c>
      <c r="N15" s="224">
        <f t="shared" si="0"/>
        <v>437560871</v>
      </c>
      <c r="O15" s="224">
        <f t="shared" si="0"/>
        <v>451358149</v>
      </c>
      <c r="P15" s="224">
        <f t="shared" si="0"/>
        <v>465234106</v>
      </c>
      <c r="Q15" s="224">
        <f t="shared" si="0"/>
        <v>477279409</v>
      </c>
      <c r="R15" s="224">
        <f t="shared" si="0"/>
        <v>491579101</v>
      </c>
      <c r="S15" s="225">
        <f t="shared" si="0"/>
        <v>506230714</v>
      </c>
      <c r="T15" s="224">
        <f>SUM(T16:T17)</f>
        <v>520933899</v>
      </c>
      <c r="U15" s="224">
        <f>SUM(U16:U17)</f>
        <v>536050786</v>
      </c>
      <c r="V15" s="224">
        <f t="shared" si="0"/>
        <v>551608378</v>
      </c>
    </row>
    <row r="16" spans="2:22" ht="20.25" customHeight="1" thickTop="1">
      <c r="B16" s="227" t="s">
        <v>1</v>
      </c>
      <c r="C16" s="228">
        <v>513943934</v>
      </c>
      <c r="D16" s="229">
        <f>443146959-8038234</f>
        <v>435108725</v>
      </c>
      <c r="E16" s="230">
        <v>418736649</v>
      </c>
      <c r="F16" s="230">
        <f>462574336</f>
        <v>462574336</v>
      </c>
      <c r="G16" s="230">
        <v>480099745</v>
      </c>
      <c r="H16" s="230">
        <f>426642897+70000000</f>
        <v>496642897</v>
      </c>
      <c r="I16" s="230">
        <f>421298627+70000000</f>
        <v>491298627</v>
      </c>
      <c r="J16" s="231">
        <f>356007168+30000000</f>
        <v>386007168</v>
      </c>
      <c r="K16" s="231">
        <f>369050019</f>
        <v>369050019</v>
      </c>
      <c r="L16" s="231">
        <f>381841055</f>
        <v>381841055</v>
      </c>
      <c r="M16" s="231">
        <f>394823225</f>
        <v>394823225</v>
      </c>
      <c r="N16" s="231">
        <f>407904851</f>
        <v>407904851</v>
      </c>
      <c r="O16" s="231">
        <f>420753136</f>
        <v>420753136</v>
      </c>
      <c r="P16" s="231">
        <f>433680338</f>
        <v>433680338</v>
      </c>
      <c r="Q16" s="231">
        <f>444779028</f>
        <v>444779028</v>
      </c>
      <c r="R16" s="231">
        <f>458103709</f>
        <v>458103709</v>
      </c>
      <c r="S16" s="231">
        <f>471751060</f>
        <v>471751060</v>
      </c>
      <c r="T16" s="230">
        <f>485454335</f>
        <v>485454335</v>
      </c>
      <c r="U16" s="230">
        <f>499542315</f>
        <v>499542315</v>
      </c>
      <c r="V16" s="230">
        <f>514041161</f>
        <v>514041161</v>
      </c>
    </row>
    <row r="17" spans="1:23" ht="22.5" customHeight="1">
      <c r="B17" s="232" t="s">
        <v>2</v>
      </c>
      <c r="C17" s="233">
        <v>271299092</v>
      </c>
      <c r="D17" s="234">
        <f>77236054+8053159</f>
        <v>85289213</v>
      </c>
      <c r="E17" s="235">
        <v>139128329</v>
      </c>
      <c r="F17" s="230">
        <f>262935637</f>
        <v>262935637</v>
      </c>
      <c r="G17" s="230">
        <v>675844917</v>
      </c>
      <c r="H17" s="230">
        <f>405597824+90000000</f>
        <v>495597824</v>
      </c>
      <c r="I17" s="230">
        <f>165631820+140000000</f>
        <v>305631820</v>
      </c>
      <c r="J17" s="231">
        <f>25868598+150000000</f>
        <v>175868598</v>
      </c>
      <c r="K17" s="231">
        <f>26825736</f>
        <v>26825736</v>
      </c>
      <c r="L17" s="231">
        <f>27764637</f>
        <v>27764637</v>
      </c>
      <c r="M17" s="231">
        <f>28708635</f>
        <v>28708635</v>
      </c>
      <c r="N17" s="231">
        <f>29656020</f>
        <v>29656020</v>
      </c>
      <c r="O17" s="231">
        <f>30605013</f>
        <v>30605013</v>
      </c>
      <c r="P17" s="231">
        <f>31553768</f>
        <v>31553768</v>
      </c>
      <c r="Q17" s="231">
        <f>32500381</f>
        <v>32500381</v>
      </c>
      <c r="R17" s="231">
        <f>33475392</f>
        <v>33475392</v>
      </c>
      <c r="S17" s="231">
        <f>34479654</f>
        <v>34479654</v>
      </c>
      <c r="T17" s="230">
        <f>35479564</f>
        <v>35479564</v>
      </c>
      <c r="U17" s="230">
        <f>36508471</f>
        <v>36508471</v>
      </c>
      <c r="V17" s="230">
        <f>37567217</f>
        <v>37567217</v>
      </c>
    </row>
    <row r="18" spans="1:23" ht="26.25" customHeight="1" thickBot="1">
      <c r="B18" s="236" t="s">
        <v>3</v>
      </c>
      <c r="C18" s="237">
        <v>765830</v>
      </c>
      <c r="D18" s="238">
        <f>715800+37138</f>
        <v>752938</v>
      </c>
      <c r="E18" s="239">
        <v>241738</v>
      </c>
      <c r="F18" s="239">
        <v>10373333</v>
      </c>
      <c r="G18" s="239">
        <f>10973345</f>
        <v>10973345</v>
      </c>
      <c r="H18" s="239">
        <v>3000000</v>
      </c>
      <c r="I18" s="239">
        <v>3000000</v>
      </c>
      <c r="J18" s="239">
        <v>0</v>
      </c>
      <c r="K18" s="239">
        <v>0</v>
      </c>
      <c r="L18" s="239">
        <v>0</v>
      </c>
      <c r="M18" s="239">
        <v>0</v>
      </c>
      <c r="N18" s="239">
        <v>0</v>
      </c>
      <c r="O18" s="239">
        <v>0</v>
      </c>
      <c r="P18" s="239">
        <v>0</v>
      </c>
      <c r="Q18" s="239">
        <v>0</v>
      </c>
      <c r="R18" s="239">
        <v>0</v>
      </c>
      <c r="S18" s="239">
        <v>0</v>
      </c>
      <c r="T18" s="239">
        <v>0</v>
      </c>
      <c r="U18" s="239">
        <v>0</v>
      </c>
      <c r="V18" s="239">
        <v>0</v>
      </c>
    </row>
    <row r="19" spans="1:23" s="240" customFormat="1" ht="25.5" customHeight="1" thickBot="1">
      <c r="B19" s="241" t="s">
        <v>4</v>
      </c>
      <c r="C19" s="242">
        <f>SUM(C20,C23)</f>
        <v>810611666</v>
      </c>
      <c r="D19" s="242">
        <f t="shared" ref="D19:E19" si="2">SUM(D20,D23)</f>
        <v>541427203</v>
      </c>
      <c r="E19" s="242">
        <f t="shared" si="2"/>
        <v>580454948</v>
      </c>
      <c r="F19" s="242">
        <f>SUM(F20,F23)</f>
        <v>813866733</v>
      </c>
      <c r="G19" s="242">
        <f t="shared" ref="G19:V19" si="3">SUM(G20,G23)</f>
        <v>1246923662</v>
      </c>
      <c r="H19" s="242">
        <f t="shared" si="3"/>
        <v>964286388</v>
      </c>
      <c r="I19" s="242">
        <f t="shared" si="3"/>
        <v>768976114</v>
      </c>
      <c r="J19" s="242">
        <f t="shared" si="3"/>
        <v>533921433</v>
      </c>
      <c r="K19" s="242">
        <f t="shared" si="3"/>
        <v>367921422</v>
      </c>
      <c r="L19" s="242">
        <f t="shared" si="3"/>
        <v>381651359</v>
      </c>
      <c r="M19" s="242">
        <f t="shared" si="3"/>
        <v>395577527</v>
      </c>
      <c r="N19" s="242">
        <f t="shared" si="3"/>
        <v>409606538</v>
      </c>
      <c r="O19" s="242">
        <f t="shared" si="3"/>
        <v>424228493</v>
      </c>
      <c r="P19" s="242">
        <f t="shared" si="3"/>
        <v>438935773</v>
      </c>
      <c r="Q19" s="242">
        <f t="shared" si="3"/>
        <v>456303876</v>
      </c>
      <c r="R19" s="242">
        <f t="shared" si="3"/>
        <v>471319568</v>
      </c>
      <c r="S19" s="242">
        <f t="shared" si="3"/>
        <v>487637843</v>
      </c>
      <c r="T19" s="242">
        <f t="shared" si="3"/>
        <v>504934366</v>
      </c>
      <c r="U19" s="242">
        <f t="shared" si="3"/>
        <v>522051253</v>
      </c>
      <c r="V19" s="242">
        <f t="shared" si="3"/>
        <v>544175040</v>
      </c>
    </row>
    <row r="20" spans="1:23" s="243" customFormat="1" ht="21" customHeight="1" thickTop="1">
      <c r="B20" s="244" t="s">
        <v>5</v>
      </c>
      <c r="C20" s="245">
        <f>458862718+2314000</f>
        <v>461176718</v>
      </c>
      <c r="D20" s="246">
        <f>353564282+15033+1523000</f>
        <v>355102315</v>
      </c>
      <c r="E20" s="247">
        <v>370220681</v>
      </c>
      <c r="F20" s="245">
        <f>433532644</f>
        <v>433532644</v>
      </c>
      <c r="G20" s="245">
        <v>437604264</v>
      </c>
      <c r="H20" s="245">
        <f t="shared" ref="H20:V20" si="4">SUM(H21:H22)</f>
        <v>400650516</v>
      </c>
      <c r="I20" s="245">
        <f>SUM(I21:I22)</f>
        <v>389147420</v>
      </c>
      <c r="J20" s="245">
        <f t="shared" si="4"/>
        <v>309432539</v>
      </c>
      <c r="K20" s="245">
        <f t="shared" si="4"/>
        <v>314908679</v>
      </c>
      <c r="L20" s="245">
        <f t="shared" si="4"/>
        <v>320268926</v>
      </c>
      <c r="M20" s="245">
        <f t="shared" si="4"/>
        <v>325800354</v>
      </c>
      <c r="N20" s="245">
        <f t="shared" si="4"/>
        <v>331507154</v>
      </c>
      <c r="O20" s="245">
        <f t="shared" si="4"/>
        <v>337393280</v>
      </c>
      <c r="P20" s="245">
        <f t="shared" si="4"/>
        <v>343513186</v>
      </c>
      <c r="Q20" s="245">
        <f t="shared" si="4"/>
        <v>349536999</v>
      </c>
      <c r="R20" s="245">
        <f t="shared" si="4"/>
        <v>355749278</v>
      </c>
      <c r="S20" s="245">
        <f t="shared" si="4"/>
        <v>361614860</v>
      </c>
      <c r="T20" s="245">
        <f t="shared" si="4"/>
        <v>368729174</v>
      </c>
      <c r="U20" s="245">
        <f t="shared" si="4"/>
        <v>376189887</v>
      </c>
      <c r="V20" s="245">
        <f t="shared" si="4"/>
        <v>383590565</v>
      </c>
    </row>
    <row r="21" spans="1:23" s="254" customFormat="1" ht="15" hidden="1" customHeight="1">
      <c r="A21" s="248"/>
      <c r="B21" s="249" t="s">
        <v>120</v>
      </c>
      <c r="C21" s="250">
        <f t="shared" ref="C21:D21" si="5">C20-C22</f>
        <v>455488776</v>
      </c>
      <c r="D21" s="250">
        <f t="shared" si="5"/>
        <v>349707582</v>
      </c>
      <c r="E21" s="250">
        <f>E20-E22</f>
        <v>363415751</v>
      </c>
      <c r="F21" s="250">
        <f>F20-F22</f>
        <v>425492190</v>
      </c>
      <c r="G21" s="250">
        <f>G20-G22</f>
        <v>421023936</v>
      </c>
      <c r="H21" s="251">
        <f>329695212+50000000</f>
        <v>379695212</v>
      </c>
      <c r="I21" s="251">
        <f>339883353+30000000</f>
        <v>369883353</v>
      </c>
      <c r="J21" s="252">
        <v>291859709</v>
      </c>
      <c r="K21" s="250">
        <v>299027086</v>
      </c>
      <c r="L21" s="250">
        <v>306078571</v>
      </c>
      <c r="M21" s="250">
        <v>313301236</v>
      </c>
      <c r="N21" s="250">
        <v>320699273</v>
      </c>
      <c r="O21" s="250">
        <v>328276636</v>
      </c>
      <c r="P21" s="250">
        <v>336037886</v>
      </c>
      <c r="Q21" s="250">
        <v>343652748</v>
      </c>
      <c r="R21" s="250">
        <v>351134047</v>
      </c>
      <c r="S21" s="250">
        <f>358225331</f>
        <v>358225331</v>
      </c>
      <c r="T21" s="250">
        <f>366464514</f>
        <v>366464514</v>
      </c>
      <c r="U21" s="250">
        <f>374893198</f>
        <v>374893198</v>
      </c>
      <c r="V21" s="250">
        <f>383140848</f>
        <v>383140848</v>
      </c>
      <c r="W21" s="253"/>
    </row>
    <row r="22" spans="1:23" s="259" customFormat="1" ht="15" hidden="1" customHeight="1">
      <c r="A22" s="255"/>
      <c r="B22" s="256" t="s">
        <v>121</v>
      </c>
      <c r="C22" s="257">
        <f t="shared" ref="C22:D22" si="6">C49</f>
        <v>5687942</v>
      </c>
      <c r="D22" s="257">
        <f t="shared" si="6"/>
        <v>5394733</v>
      </c>
      <c r="E22" s="257">
        <f>E49</f>
        <v>6804930</v>
      </c>
      <c r="F22" s="257">
        <f>F49</f>
        <v>8040454</v>
      </c>
      <c r="G22" s="257">
        <f t="shared" ref="G22:V22" si="7">G49</f>
        <v>16580328</v>
      </c>
      <c r="H22" s="257">
        <f t="shared" si="7"/>
        <v>20955304</v>
      </c>
      <c r="I22" s="257">
        <f t="shared" si="7"/>
        <v>19264067</v>
      </c>
      <c r="J22" s="257">
        <f t="shared" si="7"/>
        <v>17572830</v>
      </c>
      <c r="K22" s="257">
        <f t="shared" si="7"/>
        <v>15881593</v>
      </c>
      <c r="L22" s="257">
        <f t="shared" si="7"/>
        <v>14190355</v>
      </c>
      <c r="M22" s="257">
        <f t="shared" si="7"/>
        <v>12499118</v>
      </c>
      <c r="N22" s="257">
        <f t="shared" si="7"/>
        <v>10807881</v>
      </c>
      <c r="O22" s="257">
        <f t="shared" si="7"/>
        <v>9116644</v>
      </c>
      <c r="P22" s="257">
        <f t="shared" si="7"/>
        <v>7475300</v>
      </c>
      <c r="Q22" s="257">
        <f t="shared" si="7"/>
        <v>5884251</v>
      </c>
      <c r="R22" s="257">
        <f t="shared" si="7"/>
        <v>4615231</v>
      </c>
      <c r="S22" s="257">
        <f t="shared" si="7"/>
        <v>3389529</v>
      </c>
      <c r="T22" s="257">
        <f t="shared" si="7"/>
        <v>2264660</v>
      </c>
      <c r="U22" s="257">
        <f t="shared" si="7"/>
        <v>1296689</v>
      </c>
      <c r="V22" s="257">
        <f t="shared" si="7"/>
        <v>449717</v>
      </c>
      <c r="W22" s="258"/>
    </row>
    <row r="23" spans="1:23" ht="22.5" customHeight="1" thickBot="1">
      <c r="B23" s="260" t="s">
        <v>6</v>
      </c>
      <c r="C23" s="230">
        <f>351748948-2314000</f>
        <v>349434948</v>
      </c>
      <c r="D23" s="238">
        <f>187847888-1523000</f>
        <v>186324888</v>
      </c>
      <c r="E23" s="261">
        <v>210234267</v>
      </c>
      <c r="F23" s="237">
        <f>380334089</f>
        <v>380334089</v>
      </c>
      <c r="G23" s="237">
        <v>809319398</v>
      </c>
      <c r="H23" s="262">
        <f>457088505+100000000+H77</f>
        <v>563635872</v>
      </c>
      <c r="I23" s="237">
        <f>179256658+50000000+I77</f>
        <v>379828694</v>
      </c>
      <c r="J23" s="237">
        <f>14774114+J77</f>
        <v>224488894</v>
      </c>
      <c r="K23" s="237">
        <f>15143467+K77</f>
        <v>53012743</v>
      </c>
      <c r="L23" s="237">
        <f>15506910+L77</f>
        <v>61382433</v>
      </c>
      <c r="M23" s="237">
        <f>15879076+M77</f>
        <v>69777173</v>
      </c>
      <c r="N23" s="237">
        <f>16260174+N77</f>
        <v>78099384</v>
      </c>
      <c r="O23" s="237">
        <f>16650418+O77</f>
        <v>86835213</v>
      </c>
      <c r="P23" s="237">
        <f>17050028+P77</f>
        <v>95422587</v>
      </c>
      <c r="Q23" s="237">
        <f>17442179+Q77</f>
        <v>106766877</v>
      </c>
      <c r="R23" s="237">
        <f>17843349+R77</f>
        <v>115570290</v>
      </c>
      <c r="S23" s="237">
        <f>18253746+S77</f>
        <v>126022983</v>
      </c>
      <c r="T23" s="237">
        <f>18673582+T77</f>
        <v>136205192</v>
      </c>
      <c r="U23" s="237">
        <f>19103074+U77</f>
        <v>145861366</v>
      </c>
      <c r="V23" s="237">
        <f>19523342+V77</f>
        <v>160584475</v>
      </c>
    </row>
    <row r="24" spans="1:23" s="263" customFormat="1" ht="25.5" customHeight="1" thickBot="1">
      <c r="B24" s="264" t="s">
        <v>7</v>
      </c>
      <c r="C24" s="265">
        <f t="shared" ref="C24:V24" si="8">SUM(C15-C19)</f>
        <v>-25368640</v>
      </c>
      <c r="D24" s="265">
        <f t="shared" si="8"/>
        <v>-21029265</v>
      </c>
      <c r="E24" s="265">
        <f>SUM(E15-E19)</f>
        <v>-22589970</v>
      </c>
      <c r="F24" s="265">
        <f t="shared" si="8"/>
        <v>-88356760</v>
      </c>
      <c r="G24" s="265">
        <f>SUM(G15-G19)</f>
        <v>-90979000</v>
      </c>
      <c r="H24" s="265">
        <f>SUM(H15-H19)</f>
        <v>27954333</v>
      </c>
      <c r="I24" s="265">
        <f t="shared" si="8"/>
        <v>27954333</v>
      </c>
      <c r="J24" s="265">
        <f t="shared" si="8"/>
        <v>27954333</v>
      </c>
      <c r="K24" s="265">
        <f t="shared" si="8"/>
        <v>27954333</v>
      </c>
      <c r="L24" s="265">
        <f t="shared" si="8"/>
        <v>27954333</v>
      </c>
      <c r="M24" s="265">
        <f t="shared" si="8"/>
        <v>27954333</v>
      </c>
      <c r="N24" s="265">
        <f t="shared" si="8"/>
        <v>27954333</v>
      </c>
      <c r="O24" s="265">
        <f t="shared" si="8"/>
        <v>27129656</v>
      </c>
      <c r="P24" s="265">
        <f t="shared" si="8"/>
        <v>26298333</v>
      </c>
      <c r="Q24" s="265">
        <f>SUM(Q15-Q19)</f>
        <v>20975533</v>
      </c>
      <c r="R24" s="265">
        <f t="shared" si="8"/>
        <v>20259533</v>
      </c>
      <c r="S24" s="266">
        <f t="shared" si="8"/>
        <v>18592871</v>
      </c>
      <c r="T24" s="265">
        <f t="shared" si="8"/>
        <v>15999533</v>
      </c>
      <c r="U24" s="265">
        <f t="shared" si="8"/>
        <v>13999533</v>
      </c>
      <c r="V24" s="265">
        <f t="shared" si="8"/>
        <v>7433338</v>
      </c>
    </row>
    <row r="25" spans="1:23" ht="21" customHeight="1" thickTop="1" thickBot="1">
      <c r="B25" s="267" t="s">
        <v>8</v>
      </c>
      <c r="C25" s="268">
        <f t="shared" ref="C25:V25" si="9">SUM(C26-C36)</f>
        <v>48129172</v>
      </c>
      <c r="D25" s="268">
        <f t="shared" si="9"/>
        <v>52299070</v>
      </c>
      <c r="E25" s="268">
        <f t="shared" si="9"/>
        <v>49315006</v>
      </c>
      <c r="F25" s="268">
        <f t="shared" si="9"/>
        <v>88356760</v>
      </c>
      <c r="G25" s="268">
        <f t="shared" si="9"/>
        <v>90979000</v>
      </c>
      <c r="H25" s="268">
        <f>SUM(H26-H36)</f>
        <v>-27954333</v>
      </c>
      <c r="I25" s="268">
        <f>SUM(I26-I36)</f>
        <v>-27954333</v>
      </c>
      <c r="J25" s="268">
        <f t="shared" si="9"/>
        <v>-27954333</v>
      </c>
      <c r="K25" s="268">
        <f t="shared" si="9"/>
        <v>-27954333</v>
      </c>
      <c r="L25" s="268">
        <f t="shared" si="9"/>
        <v>-27954333</v>
      </c>
      <c r="M25" s="268">
        <f t="shared" si="9"/>
        <v>-27954333</v>
      </c>
      <c r="N25" s="268">
        <f t="shared" si="9"/>
        <v>-27954333</v>
      </c>
      <c r="O25" s="268">
        <f t="shared" si="9"/>
        <v>-27129656</v>
      </c>
      <c r="P25" s="268">
        <f t="shared" si="9"/>
        <v>-26298333</v>
      </c>
      <c r="Q25" s="268">
        <f t="shared" si="9"/>
        <v>-20975533</v>
      </c>
      <c r="R25" s="268">
        <f t="shared" si="9"/>
        <v>-20259533</v>
      </c>
      <c r="S25" s="269">
        <f t="shared" si="9"/>
        <v>-18592871</v>
      </c>
      <c r="T25" s="268">
        <f t="shared" si="9"/>
        <v>-15999533</v>
      </c>
      <c r="U25" s="268">
        <f t="shared" si="9"/>
        <v>-13999533</v>
      </c>
      <c r="V25" s="268">
        <f t="shared" si="9"/>
        <v>-7433338</v>
      </c>
    </row>
    <row r="26" spans="1:23" ht="26.25" customHeight="1" thickTop="1">
      <c r="B26" s="270" t="s">
        <v>9</v>
      </c>
      <c r="C26" s="271">
        <f t="shared" ref="C26:V26" si="10">SUM(C27+C29+C31+C32+C33+C34+C35)</f>
        <v>71331849</v>
      </c>
      <c r="D26" s="271">
        <f t="shared" si="10"/>
        <v>61660532</v>
      </c>
      <c r="E26" s="271">
        <f t="shared" si="10"/>
        <v>61269805</v>
      </c>
      <c r="F26" s="271">
        <f t="shared" si="10"/>
        <v>102311560</v>
      </c>
      <c r="G26" s="271">
        <f t="shared" si="10"/>
        <v>111500000</v>
      </c>
      <c r="H26" s="271">
        <f t="shared" si="10"/>
        <v>0</v>
      </c>
      <c r="I26" s="271">
        <f>SUM(I27+I29+I31+I32+I33+I34+I35)</f>
        <v>0</v>
      </c>
      <c r="J26" s="271">
        <f t="shared" si="10"/>
        <v>0</v>
      </c>
      <c r="K26" s="271">
        <f t="shared" si="10"/>
        <v>0</v>
      </c>
      <c r="L26" s="271">
        <f t="shared" si="10"/>
        <v>0</v>
      </c>
      <c r="M26" s="271">
        <f t="shared" si="10"/>
        <v>0</v>
      </c>
      <c r="N26" s="271">
        <f t="shared" si="10"/>
        <v>0</v>
      </c>
      <c r="O26" s="271">
        <f t="shared" si="10"/>
        <v>0</v>
      </c>
      <c r="P26" s="271">
        <f t="shared" si="10"/>
        <v>0</v>
      </c>
      <c r="Q26" s="271">
        <f t="shared" si="10"/>
        <v>0</v>
      </c>
      <c r="R26" s="271">
        <f t="shared" si="10"/>
        <v>0</v>
      </c>
      <c r="S26" s="271">
        <f t="shared" si="10"/>
        <v>0</v>
      </c>
      <c r="T26" s="271">
        <f t="shared" si="10"/>
        <v>0</v>
      </c>
      <c r="U26" s="271">
        <f t="shared" si="10"/>
        <v>0</v>
      </c>
      <c r="V26" s="271">
        <f t="shared" si="10"/>
        <v>0</v>
      </c>
    </row>
    <row r="27" spans="1:23" ht="23.25" customHeight="1">
      <c r="B27" s="232" t="s">
        <v>10</v>
      </c>
      <c r="C27" s="272">
        <v>25000000</v>
      </c>
      <c r="D27" s="272">
        <v>38900000</v>
      </c>
      <c r="E27" s="272">
        <v>30000000</v>
      </c>
      <c r="F27" s="272">
        <f>SUM('Raty spłat'!P$3)</f>
        <v>98493000</v>
      </c>
      <c r="G27" s="272">
        <f>SUM('Raty spłat'!Q$3)</f>
        <v>111500000</v>
      </c>
      <c r="H27" s="272">
        <f>SUM('Raty spłat'!R$3)</f>
        <v>0</v>
      </c>
      <c r="I27" s="272">
        <f>SUM('Raty spłat'!S$3)</f>
        <v>0</v>
      </c>
      <c r="J27" s="272">
        <f>SUM('Raty spłat'!T$3)</f>
        <v>0</v>
      </c>
      <c r="K27" s="272">
        <v>0</v>
      </c>
      <c r="L27" s="272">
        <v>0</v>
      </c>
      <c r="M27" s="272">
        <f>SUM('Raty spłat'!Y$3)</f>
        <v>0</v>
      </c>
      <c r="N27" s="272">
        <f>SUM('Raty spłat'!Z$3)</f>
        <v>0</v>
      </c>
      <c r="O27" s="272">
        <f>SUM('Raty spłat'!AA$3)</f>
        <v>0</v>
      </c>
      <c r="P27" s="272">
        <f>SUM('Raty spłat'!AB$3)</f>
        <v>0</v>
      </c>
      <c r="Q27" s="272">
        <f>SUM('Raty spłat'!AC$3)</f>
        <v>0</v>
      </c>
      <c r="R27" s="272">
        <f>SUM('Raty spłat'!AD$3)</f>
        <v>0</v>
      </c>
      <c r="S27" s="272">
        <f>SUM('Raty spłat'!AE$3)</f>
        <v>0</v>
      </c>
      <c r="T27" s="272">
        <f>SUM('Raty spłat'!AF$3)</f>
        <v>0</v>
      </c>
      <c r="U27" s="272">
        <f>SUM('Raty spłat'!AG$3)</f>
        <v>0</v>
      </c>
      <c r="V27" s="272">
        <f>SUM('Raty spłat'!AH$3)</f>
        <v>0</v>
      </c>
    </row>
    <row r="28" spans="1:23" ht="38.25" customHeight="1">
      <c r="B28" s="232" t="s">
        <v>11</v>
      </c>
      <c r="C28" s="272">
        <v>0</v>
      </c>
      <c r="D28" s="272">
        <v>0</v>
      </c>
      <c r="E28" s="272">
        <v>0</v>
      </c>
      <c r="F28" s="272">
        <v>0</v>
      </c>
      <c r="G28" s="272">
        <v>0</v>
      </c>
      <c r="H28" s="272">
        <v>0</v>
      </c>
      <c r="I28" s="272">
        <v>0</v>
      </c>
      <c r="J28" s="272">
        <v>0</v>
      </c>
      <c r="K28" s="272">
        <v>0</v>
      </c>
      <c r="L28" s="272">
        <v>0</v>
      </c>
      <c r="M28" s="272">
        <v>0</v>
      </c>
      <c r="N28" s="272">
        <v>0</v>
      </c>
      <c r="O28" s="272">
        <v>0</v>
      </c>
      <c r="P28" s="272">
        <v>0</v>
      </c>
      <c r="Q28" s="272">
        <v>0</v>
      </c>
      <c r="R28" s="272">
        <v>0</v>
      </c>
      <c r="S28" s="273">
        <v>0</v>
      </c>
      <c r="T28" s="272">
        <v>0</v>
      </c>
      <c r="U28" s="272">
        <v>0</v>
      </c>
      <c r="V28" s="272">
        <v>0</v>
      </c>
    </row>
    <row r="29" spans="1:23" ht="24.75" customHeight="1">
      <c r="B29" s="232" t="s">
        <v>12</v>
      </c>
      <c r="C29" s="272">
        <v>0</v>
      </c>
      <c r="D29" s="272">
        <v>0</v>
      </c>
      <c r="E29" s="272">
        <v>0</v>
      </c>
      <c r="F29" s="272">
        <v>0</v>
      </c>
      <c r="G29" s="272">
        <v>0</v>
      </c>
      <c r="H29" s="272">
        <v>0</v>
      </c>
      <c r="I29" s="272">
        <v>0</v>
      </c>
      <c r="J29" s="272">
        <v>0</v>
      </c>
      <c r="K29" s="272">
        <v>0</v>
      </c>
      <c r="L29" s="272">
        <v>0</v>
      </c>
      <c r="M29" s="272">
        <v>0</v>
      </c>
      <c r="N29" s="272">
        <v>0</v>
      </c>
      <c r="O29" s="272">
        <v>0</v>
      </c>
      <c r="P29" s="272">
        <v>0</v>
      </c>
      <c r="Q29" s="272">
        <v>0</v>
      </c>
      <c r="R29" s="272">
        <v>0</v>
      </c>
      <c r="S29" s="273">
        <v>0</v>
      </c>
      <c r="T29" s="272">
        <v>0</v>
      </c>
      <c r="U29" s="272">
        <v>0</v>
      </c>
      <c r="V29" s="272">
        <v>0</v>
      </c>
    </row>
    <row r="30" spans="1:23" ht="34.5" customHeight="1">
      <c r="B30" s="232" t="s">
        <v>13</v>
      </c>
      <c r="C30" s="272">
        <v>0</v>
      </c>
      <c r="D30" s="272">
        <v>0</v>
      </c>
      <c r="E30" s="272">
        <v>0</v>
      </c>
      <c r="F30" s="272">
        <v>0</v>
      </c>
      <c r="G30" s="272">
        <v>0</v>
      </c>
      <c r="H30" s="272">
        <v>0</v>
      </c>
      <c r="I30" s="272">
        <v>0</v>
      </c>
      <c r="J30" s="272">
        <v>0</v>
      </c>
      <c r="K30" s="272">
        <v>0</v>
      </c>
      <c r="L30" s="272">
        <v>0</v>
      </c>
      <c r="M30" s="272">
        <v>0</v>
      </c>
      <c r="N30" s="272">
        <v>0</v>
      </c>
      <c r="O30" s="272">
        <v>0</v>
      </c>
      <c r="P30" s="272">
        <v>0</v>
      </c>
      <c r="Q30" s="272">
        <v>0</v>
      </c>
      <c r="R30" s="272">
        <v>0</v>
      </c>
      <c r="S30" s="273">
        <v>0</v>
      </c>
      <c r="T30" s="272">
        <v>0</v>
      </c>
      <c r="U30" s="272">
        <v>0</v>
      </c>
      <c r="V30" s="272">
        <v>0</v>
      </c>
    </row>
    <row r="31" spans="1:23" ht="22.5" customHeight="1">
      <c r="B31" s="232" t="s">
        <v>14</v>
      </c>
      <c r="C31" s="272">
        <v>0</v>
      </c>
      <c r="D31" s="272">
        <v>0</v>
      </c>
      <c r="E31" s="272">
        <v>0</v>
      </c>
      <c r="F31" s="272">
        <v>0</v>
      </c>
      <c r="G31" s="272">
        <v>0</v>
      </c>
      <c r="H31" s="272">
        <v>0</v>
      </c>
      <c r="I31" s="272">
        <v>0</v>
      </c>
      <c r="J31" s="272">
        <v>0</v>
      </c>
      <c r="K31" s="272">
        <v>0</v>
      </c>
      <c r="L31" s="272">
        <v>0</v>
      </c>
      <c r="M31" s="272">
        <v>0</v>
      </c>
      <c r="N31" s="272">
        <v>0</v>
      </c>
      <c r="O31" s="272">
        <v>0</v>
      </c>
      <c r="P31" s="272">
        <v>0</v>
      </c>
      <c r="Q31" s="272">
        <v>0</v>
      </c>
      <c r="R31" s="272">
        <v>0</v>
      </c>
      <c r="S31" s="273">
        <v>0</v>
      </c>
      <c r="T31" s="272">
        <v>0</v>
      </c>
      <c r="U31" s="272">
        <v>0</v>
      </c>
      <c r="V31" s="272">
        <v>0</v>
      </c>
    </row>
    <row r="32" spans="1:23" ht="25.5" customHeight="1">
      <c r="B32" s="232" t="s">
        <v>15</v>
      </c>
      <c r="C32" s="272">
        <v>0</v>
      </c>
      <c r="D32" s="272">
        <v>0</v>
      </c>
      <c r="E32" s="272">
        <v>0</v>
      </c>
      <c r="F32" s="272">
        <v>0</v>
      </c>
      <c r="G32" s="272">
        <v>0</v>
      </c>
      <c r="H32" s="272">
        <v>0</v>
      </c>
      <c r="I32" s="272">
        <v>0</v>
      </c>
      <c r="J32" s="272">
        <v>0</v>
      </c>
      <c r="K32" s="272">
        <v>0</v>
      </c>
      <c r="L32" s="272">
        <v>0</v>
      </c>
      <c r="M32" s="272">
        <v>0</v>
      </c>
      <c r="N32" s="272">
        <v>0</v>
      </c>
      <c r="O32" s="272">
        <v>0</v>
      </c>
      <c r="P32" s="272">
        <v>0</v>
      </c>
      <c r="Q32" s="272">
        <v>0</v>
      </c>
      <c r="R32" s="272">
        <v>0</v>
      </c>
      <c r="S32" s="273">
        <v>0</v>
      </c>
      <c r="T32" s="272">
        <v>0</v>
      </c>
      <c r="U32" s="272">
        <v>0</v>
      </c>
      <c r="V32" s="272">
        <v>0</v>
      </c>
    </row>
    <row r="33" spans="2:22" ht="27" customHeight="1">
      <c r="B33" s="232" t="s">
        <v>16</v>
      </c>
      <c r="C33" s="272">
        <v>46331849</v>
      </c>
      <c r="D33" s="261">
        <v>0</v>
      </c>
      <c r="E33" s="272"/>
      <c r="F33" s="272">
        <v>0</v>
      </c>
      <c r="G33" s="272">
        <v>0</v>
      </c>
      <c r="H33" s="272">
        <v>0</v>
      </c>
      <c r="I33" s="272">
        <v>0</v>
      </c>
      <c r="J33" s="272">
        <v>0</v>
      </c>
      <c r="K33" s="272">
        <v>0</v>
      </c>
      <c r="L33" s="272">
        <v>0</v>
      </c>
      <c r="M33" s="272">
        <v>0</v>
      </c>
      <c r="N33" s="272">
        <v>0</v>
      </c>
      <c r="O33" s="272">
        <v>0</v>
      </c>
      <c r="P33" s="272">
        <v>0</v>
      </c>
      <c r="Q33" s="272">
        <v>0</v>
      </c>
      <c r="R33" s="272">
        <v>0</v>
      </c>
      <c r="S33" s="273">
        <v>0</v>
      </c>
      <c r="T33" s="272">
        <v>0</v>
      </c>
      <c r="U33" s="272">
        <v>0</v>
      </c>
      <c r="V33" s="272">
        <v>0</v>
      </c>
    </row>
    <row r="34" spans="2:22" ht="23.25" customHeight="1">
      <c r="B34" s="232" t="s">
        <v>17</v>
      </c>
      <c r="C34" s="272">
        <v>0</v>
      </c>
      <c r="D34" s="272">
        <v>0</v>
      </c>
      <c r="E34" s="272">
        <v>31269805</v>
      </c>
      <c r="F34" s="272">
        <f>589466+2228761+333+1000000</f>
        <v>3818560</v>
      </c>
      <c r="G34" s="272">
        <v>0</v>
      </c>
      <c r="H34" s="272">
        <v>0</v>
      </c>
      <c r="I34" s="272">
        <v>0</v>
      </c>
      <c r="J34" s="272">
        <v>0</v>
      </c>
      <c r="K34" s="272">
        <v>0</v>
      </c>
      <c r="L34" s="272">
        <v>0</v>
      </c>
      <c r="M34" s="272">
        <v>0</v>
      </c>
      <c r="N34" s="272">
        <v>0</v>
      </c>
      <c r="O34" s="272">
        <v>0</v>
      </c>
      <c r="P34" s="272">
        <v>0</v>
      </c>
      <c r="Q34" s="272">
        <v>0</v>
      </c>
      <c r="R34" s="272">
        <v>0</v>
      </c>
      <c r="S34" s="273">
        <v>0</v>
      </c>
      <c r="T34" s="272">
        <v>0</v>
      </c>
      <c r="U34" s="272">
        <v>0</v>
      </c>
      <c r="V34" s="272">
        <v>0</v>
      </c>
    </row>
    <row r="35" spans="2:22" ht="21.75" customHeight="1" thickBot="1">
      <c r="B35" s="274" t="s">
        <v>18</v>
      </c>
      <c r="C35" s="275">
        <v>0</v>
      </c>
      <c r="D35" s="272">
        <f>22760532</f>
        <v>22760532</v>
      </c>
      <c r="E35" s="275">
        <v>0</v>
      </c>
      <c r="F35" s="275">
        <v>0</v>
      </c>
      <c r="G35" s="275">
        <v>0</v>
      </c>
      <c r="H35" s="275">
        <v>0</v>
      </c>
      <c r="I35" s="275">
        <v>0</v>
      </c>
      <c r="J35" s="275">
        <v>0</v>
      </c>
      <c r="K35" s="275">
        <v>0</v>
      </c>
      <c r="L35" s="275">
        <v>0</v>
      </c>
      <c r="M35" s="275">
        <v>0</v>
      </c>
      <c r="N35" s="275">
        <v>0</v>
      </c>
      <c r="O35" s="275">
        <v>0</v>
      </c>
      <c r="P35" s="275">
        <v>0</v>
      </c>
      <c r="Q35" s="275">
        <v>0</v>
      </c>
      <c r="R35" s="275">
        <v>0</v>
      </c>
      <c r="S35" s="276">
        <v>0</v>
      </c>
      <c r="T35" s="275">
        <v>0</v>
      </c>
      <c r="U35" s="272">
        <v>0</v>
      </c>
      <c r="V35" s="272">
        <v>0</v>
      </c>
    </row>
    <row r="36" spans="2:22" ht="24.75" customHeight="1" thickTop="1" thickBot="1">
      <c r="B36" s="267" t="s">
        <v>19</v>
      </c>
      <c r="C36" s="268">
        <f t="shared" ref="C36:V36" si="11">SUM(C37+C39+C41+C42)</f>
        <v>23202677</v>
      </c>
      <c r="D36" s="268">
        <f t="shared" si="11"/>
        <v>9361462</v>
      </c>
      <c r="E36" s="268">
        <f t="shared" si="11"/>
        <v>11954799</v>
      </c>
      <c r="F36" s="268">
        <f t="shared" si="11"/>
        <v>13954800</v>
      </c>
      <c r="G36" s="268">
        <f t="shared" si="11"/>
        <v>20521000</v>
      </c>
      <c r="H36" s="268">
        <f t="shared" si="11"/>
        <v>27954333</v>
      </c>
      <c r="I36" s="268">
        <f t="shared" si="11"/>
        <v>27954333</v>
      </c>
      <c r="J36" s="268">
        <f t="shared" si="11"/>
        <v>27954333</v>
      </c>
      <c r="K36" s="268">
        <f t="shared" si="11"/>
        <v>27954333</v>
      </c>
      <c r="L36" s="268">
        <f t="shared" si="11"/>
        <v>27954333</v>
      </c>
      <c r="M36" s="268">
        <f t="shared" si="11"/>
        <v>27954333</v>
      </c>
      <c r="N36" s="268">
        <f t="shared" si="11"/>
        <v>27954333</v>
      </c>
      <c r="O36" s="268">
        <f t="shared" si="11"/>
        <v>27129656</v>
      </c>
      <c r="P36" s="268">
        <f t="shared" si="11"/>
        <v>26298333</v>
      </c>
      <c r="Q36" s="268">
        <f t="shared" si="11"/>
        <v>20975533</v>
      </c>
      <c r="R36" s="268">
        <f t="shared" si="11"/>
        <v>20259533</v>
      </c>
      <c r="S36" s="269">
        <f t="shared" si="11"/>
        <v>18592871</v>
      </c>
      <c r="T36" s="268">
        <f t="shared" si="11"/>
        <v>15999533</v>
      </c>
      <c r="U36" s="268">
        <f t="shared" si="11"/>
        <v>13999533</v>
      </c>
      <c r="V36" s="268">
        <f t="shared" si="11"/>
        <v>7433338</v>
      </c>
    </row>
    <row r="37" spans="2:22" ht="22.5" customHeight="1" thickTop="1">
      <c r="B37" s="227" t="s">
        <v>20</v>
      </c>
      <c r="C37" s="230">
        <v>23202677</v>
      </c>
      <c r="D37" s="230">
        <v>9361462</v>
      </c>
      <c r="E37" s="277">
        <v>11954799</v>
      </c>
      <c r="F37" s="278">
        <f>SUM('Raty spłat'!$Y17)</f>
        <v>13954800</v>
      </c>
      <c r="G37" s="279">
        <f>SUM('Raty spłat'!$Y18)</f>
        <v>20521000</v>
      </c>
      <c r="H37" s="250">
        <f>SUM('Raty spłat'!$Y19)</f>
        <v>27954333</v>
      </c>
      <c r="I37" s="250">
        <f>SUM('Raty spłat'!$Y20)</f>
        <v>27954333</v>
      </c>
      <c r="J37" s="250">
        <f>SUM('Raty spłat'!$Y21)</f>
        <v>27954333</v>
      </c>
      <c r="K37" s="250">
        <f>SUM('Raty spłat'!$Y22)</f>
        <v>27954333</v>
      </c>
      <c r="L37" s="250">
        <f>SUM('Raty spłat'!$Y23)</f>
        <v>27954333</v>
      </c>
      <c r="M37" s="250">
        <f>SUM('Raty spłat'!$Y24)</f>
        <v>27954333</v>
      </c>
      <c r="N37" s="250">
        <f>SUM('Raty spłat'!$Y25)</f>
        <v>27954333</v>
      </c>
      <c r="O37" s="250">
        <f>SUM('Raty spłat'!$Y26)</f>
        <v>27129656</v>
      </c>
      <c r="P37" s="250">
        <f>SUM('Raty spłat'!$Y27)</f>
        <v>26298333</v>
      </c>
      <c r="Q37" s="250">
        <f>SUM('Raty spłat'!$Y28)</f>
        <v>20975533</v>
      </c>
      <c r="R37" s="250">
        <f>SUM('Raty spłat'!$Y29)</f>
        <v>20259533</v>
      </c>
      <c r="S37" s="250">
        <f>SUM('Raty spłat'!$Y30)</f>
        <v>18592871</v>
      </c>
      <c r="T37" s="250">
        <f>SUM('Raty spłat'!$Y31)</f>
        <v>15999533</v>
      </c>
      <c r="U37" s="250">
        <f>SUM('Raty spłat'!$Y32)</f>
        <v>13999533</v>
      </c>
      <c r="V37" s="250">
        <f>SUM('Raty spłat'!$Y33)</f>
        <v>7433338</v>
      </c>
    </row>
    <row r="38" spans="2:22" ht="39.75" customHeight="1">
      <c r="B38" s="232" t="s">
        <v>21</v>
      </c>
      <c r="C38" s="272">
        <v>15507877</v>
      </c>
      <c r="D38" s="272">
        <v>0</v>
      </c>
      <c r="E38" s="272">
        <v>0</v>
      </c>
      <c r="F38" s="272">
        <v>0</v>
      </c>
      <c r="G38" s="272">
        <v>0</v>
      </c>
      <c r="H38" s="230">
        <v>0</v>
      </c>
      <c r="I38" s="230">
        <v>0</v>
      </c>
      <c r="J38" s="230">
        <v>0</v>
      </c>
      <c r="K38" s="230">
        <v>0</v>
      </c>
      <c r="L38" s="230">
        <v>0</v>
      </c>
      <c r="M38" s="230">
        <v>0</v>
      </c>
      <c r="N38" s="230">
        <v>0</v>
      </c>
      <c r="O38" s="230">
        <v>0</v>
      </c>
      <c r="P38" s="230">
        <v>0</v>
      </c>
      <c r="Q38" s="230">
        <v>0</v>
      </c>
      <c r="R38" s="230">
        <v>0</v>
      </c>
      <c r="S38" s="230">
        <v>0</v>
      </c>
      <c r="T38" s="231">
        <v>0</v>
      </c>
      <c r="U38" s="231">
        <v>0</v>
      </c>
      <c r="V38" s="231">
        <v>0</v>
      </c>
    </row>
    <row r="39" spans="2:22" ht="23.25" customHeight="1">
      <c r="B39" s="232" t="s">
        <v>22</v>
      </c>
      <c r="C39" s="272">
        <v>0</v>
      </c>
      <c r="D39" s="272">
        <v>0</v>
      </c>
      <c r="E39" s="272">
        <v>0</v>
      </c>
      <c r="F39" s="272">
        <v>0</v>
      </c>
      <c r="G39" s="272">
        <v>0</v>
      </c>
      <c r="H39" s="272">
        <v>0</v>
      </c>
      <c r="I39" s="272">
        <v>0</v>
      </c>
      <c r="J39" s="272">
        <v>0</v>
      </c>
      <c r="K39" s="272">
        <v>0</v>
      </c>
      <c r="L39" s="272">
        <v>0</v>
      </c>
      <c r="M39" s="272">
        <v>0</v>
      </c>
      <c r="N39" s="272">
        <v>0</v>
      </c>
      <c r="O39" s="272">
        <v>0</v>
      </c>
      <c r="P39" s="272">
        <v>0</v>
      </c>
      <c r="Q39" s="272">
        <v>0</v>
      </c>
      <c r="R39" s="272">
        <v>0</v>
      </c>
      <c r="S39" s="272">
        <v>0</v>
      </c>
      <c r="T39" s="273">
        <v>0</v>
      </c>
      <c r="U39" s="273">
        <v>0</v>
      </c>
      <c r="V39" s="273">
        <v>0</v>
      </c>
    </row>
    <row r="40" spans="2:22" ht="37.5" customHeight="1">
      <c r="B40" s="232" t="s">
        <v>23</v>
      </c>
      <c r="C40" s="272">
        <v>0</v>
      </c>
      <c r="D40" s="272">
        <v>0</v>
      </c>
      <c r="E40" s="272">
        <v>0</v>
      </c>
      <c r="F40" s="272">
        <v>0</v>
      </c>
      <c r="G40" s="272">
        <v>0</v>
      </c>
      <c r="H40" s="272">
        <v>0</v>
      </c>
      <c r="I40" s="272">
        <v>0</v>
      </c>
      <c r="J40" s="272">
        <v>0</v>
      </c>
      <c r="K40" s="272">
        <v>0</v>
      </c>
      <c r="L40" s="272">
        <v>0</v>
      </c>
      <c r="M40" s="272">
        <v>0</v>
      </c>
      <c r="N40" s="272">
        <v>0</v>
      </c>
      <c r="O40" s="272">
        <v>0</v>
      </c>
      <c r="P40" s="272">
        <v>0</v>
      </c>
      <c r="Q40" s="272">
        <v>0</v>
      </c>
      <c r="R40" s="272">
        <v>0</v>
      </c>
      <c r="S40" s="272">
        <v>0</v>
      </c>
      <c r="T40" s="273">
        <v>0</v>
      </c>
      <c r="U40" s="273">
        <v>0</v>
      </c>
      <c r="V40" s="273">
        <v>0</v>
      </c>
    </row>
    <row r="41" spans="2:22" ht="23.25" customHeight="1">
      <c r="B41" s="232" t="s">
        <v>24</v>
      </c>
      <c r="C41" s="272">
        <v>0</v>
      </c>
      <c r="D41" s="272">
        <v>0</v>
      </c>
      <c r="E41" s="272">
        <v>0</v>
      </c>
      <c r="F41" s="272">
        <v>0</v>
      </c>
      <c r="G41" s="272">
        <v>0</v>
      </c>
      <c r="H41" s="272">
        <v>0</v>
      </c>
      <c r="I41" s="272">
        <v>0</v>
      </c>
      <c r="J41" s="272">
        <v>0</v>
      </c>
      <c r="K41" s="272">
        <v>0</v>
      </c>
      <c r="L41" s="272">
        <v>0</v>
      </c>
      <c r="M41" s="272">
        <v>0</v>
      </c>
      <c r="N41" s="272">
        <v>0</v>
      </c>
      <c r="O41" s="272">
        <v>0</v>
      </c>
      <c r="P41" s="272">
        <v>0</v>
      </c>
      <c r="Q41" s="272">
        <v>0</v>
      </c>
      <c r="R41" s="272">
        <v>0</v>
      </c>
      <c r="S41" s="272">
        <v>0</v>
      </c>
      <c r="T41" s="273">
        <v>0</v>
      </c>
      <c r="U41" s="273">
        <v>0</v>
      </c>
      <c r="V41" s="273">
        <v>0</v>
      </c>
    </row>
    <row r="42" spans="2:22" ht="23.25" customHeight="1" thickBot="1">
      <c r="B42" s="236" t="s">
        <v>25</v>
      </c>
      <c r="C42" s="239">
        <v>0</v>
      </c>
      <c r="D42" s="239">
        <v>0</v>
      </c>
      <c r="E42" s="239">
        <v>0</v>
      </c>
      <c r="F42" s="239">
        <v>0</v>
      </c>
      <c r="G42" s="239">
        <v>0</v>
      </c>
      <c r="H42" s="239">
        <v>0</v>
      </c>
      <c r="I42" s="239">
        <v>0</v>
      </c>
      <c r="J42" s="239">
        <v>0</v>
      </c>
      <c r="K42" s="239">
        <v>0</v>
      </c>
      <c r="L42" s="239">
        <v>0</v>
      </c>
      <c r="M42" s="239">
        <v>0</v>
      </c>
      <c r="N42" s="239">
        <v>0</v>
      </c>
      <c r="O42" s="239">
        <v>0</v>
      </c>
      <c r="P42" s="239">
        <v>0</v>
      </c>
      <c r="Q42" s="239">
        <v>0</v>
      </c>
      <c r="R42" s="239">
        <v>0</v>
      </c>
      <c r="S42" s="239">
        <v>0</v>
      </c>
      <c r="T42" s="280">
        <v>0</v>
      </c>
      <c r="U42" s="281">
        <v>0</v>
      </c>
      <c r="V42" s="281">
        <v>0</v>
      </c>
    </row>
    <row r="43" spans="2:22" ht="27" customHeight="1" thickBot="1">
      <c r="B43" s="282" t="s">
        <v>26</v>
      </c>
      <c r="C43" s="283">
        <v>0</v>
      </c>
      <c r="D43" s="283">
        <v>0</v>
      </c>
      <c r="E43" s="283">
        <v>0</v>
      </c>
      <c r="F43" s="283">
        <v>0</v>
      </c>
      <c r="G43" s="283">
        <v>0</v>
      </c>
      <c r="H43" s="283">
        <v>0</v>
      </c>
      <c r="I43" s="283">
        <v>0</v>
      </c>
      <c r="J43" s="283">
        <v>0</v>
      </c>
      <c r="K43" s="283">
        <v>0</v>
      </c>
      <c r="L43" s="283">
        <v>0</v>
      </c>
      <c r="M43" s="283">
        <v>0</v>
      </c>
      <c r="N43" s="283">
        <v>0</v>
      </c>
      <c r="O43" s="283">
        <v>0</v>
      </c>
      <c r="P43" s="283">
        <v>0</v>
      </c>
      <c r="Q43" s="283">
        <v>0</v>
      </c>
      <c r="R43" s="283">
        <v>0</v>
      </c>
      <c r="S43" s="283">
        <v>0</v>
      </c>
      <c r="T43" s="284">
        <v>0</v>
      </c>
      <c r="U43" s="285">
        <v>0</v>
      </c>
      <c r="V43" s="285">
        <v>0</v>
      </c>
    </row>
    <row r="44" spans="2:22" ht="25.5" customHeight="1" thickBot="1">
      <c r="B44" s="286" t="s">
        <v>27</v>
      </c>
      <c r="C44" s="287">
        <v>0</v>
      </c>
      <c r="D44" s="287">
        <v>0</v>
      </c>
      <c r="E44" s="287">
        <f>E45</f>
        <v>0</v>
      </c>
      <c r="F44" s="287">
        <f t="shared" ref="F44:V44" si="12">F45</f>
        <v>2158759</v>
      </c>
      <c r="G44" s="287">
        <f t="shared" si="12"/>
        <v>5735929</v>
      </c>
      <c r="H44" s="287">
        <f t="shared" si="12"/>
        <v>5314161</v>
      </c>
      <c r="I44" s="287">
        <f t="shared" si="12"/>
        <v>5041751</v>
      </c>
      <c r="J44" s="287">
        <f t="shared" si="12"/>
        <v>4853906</v>
      </c>
      <c r="K44" s="287">
        <f t="shared" si="12"/>
        <v>4530696</v>
      </c>
      <c r="L44" s="287">
        <f t="shared" si="12"/>
        <v>4213767</v>
      </c>
      <c r="M44" s="287">
        <f t="shared" si="12"/>
        <v>4008096</v>
      </c>
      <c r="N44" s="287">
        <f t="shared" si="12"/>
        <v>3832791</v>
      </c>
      <c r="O44" s="287">
        <f t="shared" si="12"/>
        <v>3503764</v>
      </c>
      <c r="P44" s="287">
        <f t="shared" si="12"/>
        <v>3282567</v>
      </c>
      <c r="Q44" s="287">
        <f t="shared" si="12"/>
        <v>1354225</v>
      </c>
      <c r="R44" s="287">
        <f t="shared" si="12"/>
        <v>962658</v>
      </c>
      <c r="S44" s="288">
        <f t="shared" si="12"/>
        <v>0</v>
      </c>
      <c r="T44" s="287">
        <f t="shared" si="12"/>
        <v>0</v>
      </c>
      <c r="U44" s="287">
        <f t="shared" si="12"/>
        <v>0</v>
      </c>
      <c r="V44" s="287">
        <f t="shared" si="12"/>
        <v>0</v>
      </c>
    </row>
    <row r="45" spans="2:22" ht="45" customHeight="1" thickTop="1">
      <c r="B45" s="227" t="s">
        <v>28</v>
      </c>
      <c r="C45" s="230">
        <v>0</v>
      </c>
      <c r="D45" s="230">
        <v>0</v>
      </c>
      <c r="E45" s="230">
        <v>0</v>
      </c>
      <c r="F45" s="230">
        <f>1821548-361871+729556-30474</f>
        <v>2158759</v>
      </c>
      <c r="G45" s="230">
        <f>3571709+2164220</f>
        <v>5735929</v>
      </c>
      <c r="H45" s="230">
        <f>3230941+2083220</f>
        <v>5314161</v>
      </c>
      <c r="I45" s="231">
        <f>3039530+2002221</f>
        <v>5041751</v>
      </c>
      <c r="J45" s="289">
        <f>2932601+1921305</f>
        <v>4853906</v>
      </c>
      <c r="K45" s="289">
        <f>2690474+1840222</f>
        <v>4530696</v>
      </c>
      <c r="L45" s="289">
        <f>2454545+1759222</f>
        <v>4213767</v>
      </c>
      <c r="M45" s="289">
        <f>2329873+1678223</f>
        <v>4008096</v>
      </c>
      <c r="N45" s="289">
        <f>2235483+1597308</f>
        <v>3832791</v>
      </c>
      <c r="O45" s="289">
        <f>1987540+1516224</f>
        <v>3503764</v>
      </c>
      <c r="P45" s="289">
        <f>1847343+1435224</f>
        <v>3282567</v>
      </c>
      <c r="Q45" s="289">
        <v>1354225</v>
      </c>
      <c r="R45" s="289">
        <v>962658</v>
      </c>
      <c r="S45" s="290">
        <v>0</v>
      </c>
      <c r="T45" s="291">
        <v>0</v>
      </c>
      <c r="U45" s="291">
        <v>0</v>
      </c>
      <c r="V45" s="291">
        <v>0</v>
      </c>
    </row>
    <row r="46" spans="2:22" ht="58.5" customHeight="1" thickBot="1">
      <c r="B46" s="292" t="s">
        <v>29</v>
      </c>
      <c r="C46" s="293">
        <v>0</v>
      </c>
      <c r="D46" s="294">
        <v>0</v>
      </c>
      <c r="E46" s="293">
        <v>0</v>
      </c>
      <c r="F46" s="293">
        <f>882000-175218-9827</f>
        <v>696955</v>
      </c>
      <c r="G46" s="293">
        <v>2641142</v>
      </c>
      <c r="H46" s="293">
        <v>2552942</v>
      </c>
      <c r="I46" s="295">
        <v>2464742</v>
      </c>
      <c r="J46" s="296">
        <v>2376542</v>
      </c>
      <c r="K46" s="296">
        <v>2288342</v>
      </c>
      <c r="L46" s="296">
        <v>2200142</v>
      </c>
      <c r="M46" s="296">
        <v>2111942</v>
      </c>
      <c r="N46" s="296">
        <v>2023742</v>
      </c>
      <c r="O46" s="296">
        <v>1935542</v>
      </c>
      <c r="P46" s="296">
        <v>1847342</v>
      </c>
      <c r="Q46" s="296">
        <v>0</v>
      </c>
      <c r="R46" s="296">
        <v>0</v>
      </c>
      <c r="S46" s="297">
        <v>0</v>
      </c>
      <c r="T46" s="298">
        <v>0</v>
      </c>
      <c r="U46" s="298">
        <v>0</v>
      </c>
      <c r="V46" s="298">
        <v>0</v>
      </c>
    </row>
    <row r="47" spans="2:22" ht="45" customHeight="1" thickTop="1" thickBot="1">
      <c r="B47" s="267" t="s">
        <v>30</v>
      </c>
      <c r="C47" s="268">
        <f t="shared" ref="C47:V47" si="13">SUM(C48:C53)</f>
        <v>13382742</v>
      </c>
      <c r="D47" s="268">
        <f t="shared" si="13"/>
        <v>14756195</v>
      </c>
      <c r="E47" s="268">
        <f t="shared" si="13"/>
        <v>18759729</v>
      </c>
      <c r="F47" s="268">
        <f t="shared" si="13"/>
        <v>23457058</v>
      </c>
      <c r="G47" s="268">
        <f t="shared" si="13"/>
        <v>40196115</v>
      </c>
      <c r="H47" s="268">
        <f t="shared" si="13"/>
        <v>51670856</v>
      </c>
      <c r="I47" s="268">
        <f t="shared" si="13"/>
        <v>49795409</v>
      </c>
      <c r="J47" s="268">
        <f t="shared" si="13"/>
        <v>48004527</v>
      </c>
      <c r="K47" s="268">
        <f t="shared" si="13"/>
        <v>46078280</v>
      </c>
      <c r="L47" s="268">
        <f t="shared" si="13"/>
        <v>44158313</v>
      </c>
      <c r="M47" s="268">
        <f t="shared" si="13"/>
        <v>42349605</v>
      </c>
      <c r="N47" s="268">
        <f t="shared" si="13"/>
        <v>40571263</v>
      </c>
      <c r="O47" s="268">
        <f t="shared" si="13"/>
        <v>37814522</v>
      </c>
      <c r="P47" s="268">
        <f t="shared" si="13"/>
        <v>35208858</v>
      </c>
      <c r="Q47" s="268">
        <f t="shared" si="13"/>
        <v>28214009</v>
      </c>
      <c r="R47" s="268">
        <f t="shared" si="13"/>
        <v>25837422</v>
      </c>
      <c r="S47" s="269">
        <f t="shared" si="13"/>
        <v>21982400</v>
      </c>
      <c r="T47" s="268">
        <f t="shared" si="13"/>
        <v>18264193</v>
      </c>
      <c r="U47" s="268">
        <f t="shared" si="13"/>
        <v>15296222</v>
      </c>
      <c r="V47" s="268">
        <f t="shared" si="13"/>
        <v>7883055</v>
      </c>
    </row>
    <row r="48" spans="2:22" ht="25.5" customHeight="1" thickTop="1">
      <c r="B48" s="299" t="s">
        <v>31</v>
      </c>
      <c r="C48" s="300">
        <f t="shared" ref="C48:V48" si="14">SUM(C37-C38)</f>
        <v>7694800</v>
      </c>
      <c r="D48" s="300">
        <f>SUM(D37-D38)</f>
        <v>9361462</v>
      </c>
      <c r="E48" s="300">
        <f>SUM(E37-E38)</f>
        <v>11954799</v>
      </c>
      <c r="F48" s="300">
        <f t="shared" si="14"/>
        <v>13954800</v>
      </c>
      <c r="G48" s="300">
        <f>SUM(G37-G38)</f>
        <v>20521000</v>
      </c>
      <c r="H48" s="301">
        <f t="shared" si="14"/>
        <v>27954333</v>
      </c>
      <c r="I48" s="301">
        <f t="shared" si="14"/>
        <v>27954333</v>
      </c>
      <c r="J48" s="301">
        <f t="shared" si="14"/>
        <v>27954333</v>
      </c>
      <c r="K48" s="301">
        <f t="shared" si="14"/>
        <v>27954333</v>
      </c>
      <c r="L48" s="301">
        <f t="shared" si="14"/>
        <v>27954333</v>
      </c>
      <c r="M48" s="301">
        <f t="shared" si="14"/>
        <v>27954333</v>
      </c>
      <c r="N48" s="301">
        <f t="shared" si="14"/>
        <v>27954333</v>
      </c>
      <c r="O48" s="301">
        <f t="shared" si="14"/>
        <v>27129656</v>
      </c>
      <c r="P48" s="301">
        <f t="shared" si="14"/>
        <v>26298333</v>
      </c>
      <c r="Q48" s="301">
        <f t="shared" si="14"/>
        <v>20975533</v>
      </c>
      <c r="R48" s="301">
        <f t="shared" si="14"/>
        <v>20259533</v>
      </c>
      <c r="S48" s="301">
        <f t="shared" si="14"/>
        <v>18592871</v>
      </c>
      <c r="T48" s="302">
        <f t="shared" si="14"/>
        <v>15999533</v>
      </c>
      <c r="U48" s="301">
        <f t="shared" si="14"/>
        <v>13999533</v>
      </c>
      <c r="V48" s="301">
        <f t="shared" si="14"/>
        <v>7433338</v>
      </c>
    </row>
    <row r="49" spans="2:22" ht="28.5" customHeight="1">
      <c r="B49" s="232" t="s">
        <v>32</v>
      </c>
      <c r="C49" s="272">
        <v>5687942</v>
      </c>
      <c r="D49" s="272">
        <v>5394733</v>
      </c>
      <c r="E49" s="272">
        <v>6804930</v>
      </c>
      <c r="F49" s="272">
        <f>20472823-12432369</f>
        <v>8040454</v>
      </c>
      <c r="G49" s="272">
        <v>16580328</v>
      </c>
      <c r="H49" s="272">
        <f t="shared" ref="H49:U49" si="15">ROUND(G$58*6.05%,0)</f>
        <v>20955304</v>
      </c>
      <c r="I49" s="272">
        <f t="shared" si="15"/>
        <v>19264067</v>
      </c>
      <c r="J49" s="272">
        <f t="shared" si="15"/>
        <v>17572830</v>
      </c>
      <c r="K49" s="272">
        <f t="shared" si="15"/>
        <v>15881593</v>
      </c>
      <c r="L49" s="272">
        <f t="shared" si="15"/>
        <v>14190355</v>
      </c>
      <c r="M49" s="272">
        <f t="shared" si="15"/>
        <v>12499118</v>
      </c>
      <c r="N49" s="272">
        <f t="shared" si="15"/>
        <v>10807881</v>
      </c>
      <c r="O49" s="272">
        <f t="shared" si="15"/>
        <v>9116644</v>
      </c>
      <c r="P49" s="272">
        <f t="shared" si="15"/>
        <v>7475300</v>
      </c>
      <c r="Q49" s="272">
        <f t="shared" si="15"/>
        <v>5884251</v>
      </c>
      <c r="R49" s="272">
        <f t="shared" si="15"/>
        <v>4615231</v>
      </c>
      <c r="S49" s="272">
        <f t="shared" si="15"/>
        <v>3389529</v>
      </c>
      <c r="T49" s="272">
        <f t="shared" si="15"/>
        <v>2264660</v>
      </c>
      <c r="U49" s="272">
        <f t="shared" si="15"/>
        <v>1296689</v>
      </c>
      <c r="V49" s="272">
        <f>ROUND(U$58*6.05%,0)</f>
        <v>449717</v>
      </c>
    </row>
    <row r="50" spans="2:22" ht="23.25" customHeight="1">
      <c r="B50" s="232" t="s">
        <v>33</v>
      </c>
      <c r="C50" s="303">
        <v>0</v>
      </c>
      <c r="D50" s="303">
        <v>0</v>
      </c>
      <c r="E50" s="303">
        <v>0</v>
      </c>
      <c r="F50" s="303">
        <v>0</v>
      </c>
      <c r="G50" s="303">
        <v>0</v>
      </c>
      <c r="H50" s="303">
        <v>0</v>
      </c>
      <c r="I50" s="303">
        <v>0</v>
      </c>
      <c r="J50" s="303">
        <v>0</v>
      </c>
      <c r="K50" s="303">
        <v>0</v>
      </c>
      <c r="L50" s="303">
        <v>0</v>
      </c>
      <c r="M50" s="303">
        <v>0</v>
      </c>
      <c r="N50" s="303">
        <v>0</v>
      </c>
      <c r="O50" s="303">
        <v>0</v>
      </c>
      <c r="P50" s="303">
        <v>0</v>
      </c>
      <c r="Q50" s="303">
        <v>0</v>
      </c>
      <c r="R50" s="303">
        <v>0</v>
      </c>
      <c r="S50" s="303">
        <v>0</v>
      </c>
      <c r="T50" s="303">
        <v>0</v>
      </c>
      <c r="U50" s="303">
        <v>0</v>
      </c>
      <c r="V50" s="303">
        <v>0</v>
      </c>
    </row>
    <row r="51" spans="2:22" ht="21.75" customHeight="1">
      <c r="B51" s="232" t="s">
        <v>34</v>
      </c>
      <c r="C51" s="272">
        <v>0</v>
      </c>
      <c r="D51" s="272">
        <v>0</v>
      </c>
      <c r="E51" s="272">
        <v>0</v>
      </c>
      <c r="F51" s="272">
        <v>0</v>
      </c>
      <c r="G51" s="272">
        <v>0</v>
      </c>
      <c r="H51" s="272">
        <v>0</v>
      </c>
      <c r="I51" s="272">
        <v>0</v>
      </c>
      <c r="J51" s="272">
        <v>0</v>
      </c>
      <c r="K51" s="272">
        <v>0</v>
      </c>
      <c r="L51" s="272">
        <v>0</v>
      </c>
      <c r="M51" s="272">
        <v>0</v>
      </c>
      <c r="N51" s="272">
        <v>0</v>
      </c>
      <c r="O51" s="272">
        <v>0</v>
      </c>
      <c r="P51" s="272">
        <v>0</v>
      </c>
      <c r="Q51" s="272">
        <v>0</v>
      </c>
      <c r="R51" s="272">
        <v>0</v>
      </c>
      <c r="S51" s="272">
        <v>0</v>
      </c>
      <c r="T51" s="272">
        <v>0</v>
      </c>
      <c r="U51" s="272">
        <v>0</v>
      </c>
      <c r="V51" s="272">
        <v>0</v>
      </c>
    </row>
    <row r="52" spans="2:22" ht="41.25" customHeight="1">
      <c r="B52" s="232" t="s">
        <v>35</v>
      </c>
      <c r="C52" s="303">
        <v>0</v>
      </c>
      <c r="D52" s="303">
        <f>SUM(D45-D46)</f>
        <v>0</v>
      </c>
      <c r="E52" s="303">
        <f t="shared" ref="E52:V52" si="16">SUM(E45-E46)</f>
        <v>0</v>
      </c>
      <c r="F52" s="303">
        <f>SUM(F45-F46)</f>
        <v>1461804</v>
      </c>
      <c r="G52" s="303">
        <f t="shared" si="16"/>
        <v>3094787</v>
      </c>
      <c r="H52" s="303">
        <f t="shared" si="16"/>
        <v>2761219</v>
      </c>
      <c r="I52" s="303">
        <f t="shared" si="16"/>
        <v>2577009</v>
      </c>
      <c r="J52" s="303">
        <f t="shared" si="16"/>
        <v>2477364</v>
      </c>
      <c r="K52" s="303">
        <f t="shared" si="16"/>
        <v>2242354</v>
      </c>
      <c r="L52" s="303">
        <f t="shared" si="16"/>
        <v>2013625</v>
      </c>
      <c r="M52" s="303">
        <f t="shared" si="16"/>
        <v>1896154</v>
      </c>
      <c r="N52" s="303">
        <f t="shared" si="16"/>
        <v>1809049</v>
      </c>
      <c r="O52" s="303">
        <f t="shared" si="16"/>
        <v>1568222</v>
      </c>
      <c r="P52" s="303">
        <f t="shared" si="16"/>
        <v>1435225</v>
      </c>
      <c r="Q52" s="303">
        <f t="shared" si="16"/>
        <v>1354225</v>
      </c>
      <c r="R52" s="303">
        <f t="shared" si="16"/>
        <v>962658</v>
      </c>
      <c r="S52" s="303">
        <f t="shared" si="16"/>
        <v>0</v>
      </c>
      <c r="T52" s="303">
        <f t="shared" si="16"/>
        <v>0</v>
      </c>
      <c r="U52" s="303">
        <f t="shared" si="16"/>
        <v>0</v>
      </c>
      <c r="V52" s="303">
        <f t="shared" si="16"/>
        <v>0</v>
      </c>
    </row>
    <row r="53" spans="2:22" ht="44.25" customHeight="1" thickBot="1">
      <c r="B53" s="236" t="s">
        <v>36</v>
      </c>
      <c r="C53" s="304">
        <v>0</v>
      </c>
      <c r="D53" s="304">
        <v>0</v>
      </c>
      <c r="E53" s="304">
        <v>0</v>
      </c>
      <c r="F53" s="304">
        <v>0</v>
      </c>
      <c r="G53" s="304">
        <v>0</v>
      </c>
      <c r="H53" s="304">
        <v>0</v>
      </c>
      <c r="I53" s="304">
        <v>0</v>
      </c>
      <c r="J53" s="304">
        <v>0</v>
      </c>
      <c r="K53" s="304">
        <v>0</v>
      </c>
      <c r="L53" s="304">
        <v>0</v>
      </c>
      <c r="M53" s="304">
        <v>0</v>
      </c>
      <c r="N53" s="304">
        <v>0</v>
      </c>
      <c r="O53" s="304">
        <v>0</v>
      </c>
      <c r="P53" s="304">
        <v>0</v>
      </c>
      <c r="Q53" s="304">
        <v>0</v>
      </c>
      <c r="R53" s="304">
        <v>0</v>
      </c>
      <c r="S53" s="304">
        <v>0</v>
      </c>
      <c r="T53" s="304">
        <v>0</v>
      </c>
      <c r="U53" s="304">
        <v>0</v>
      </c>
      <c r="V53" s="304">
        <v>0</v>
      </c>
    </row>
    <row r="54" spans="2:22" ht="23.25" customHeight="1" thickBot="1">
      <c r="B54" s="305" t="s">
        <v>53</v>
      </c>
      <c r="C54" s="306">
        <f>ROUND((C47/C15),4)</f>
        <v>1.7000000000000001E-2</v>
      </c>
      <c r="D54" s="307">
        <f>ROUND((D47/D15),4)</f>
        <v>2.8400000000000002E-2</v>
      </c>
      <c r="E54" s="307">
        <f t="shared" ref="E54:V54" si="17">ROUND((E47/E15),4)</f>
        <v>3.3599999999999998E-2</v>
      </c>
      <c r="F54" s="307">
        <f>ROUND((F47/F15),4)</f>
        <v>3.2300000000000002E-2</v>
      </c>
      <c r="G54" s="307">
        <f t="shared" si="17"/>
        <v>3.4799999999999998E-2</v>
      </c>
      <c r="H54" s="307">
        <f t="shared" si="17"/>
        <v>5.21E-2</v>
      </c>
      <c r="I54" s="307">
        <f t="shared" si="17"/>
        <v>6.25E-2</v>
      </c>
      <c r="J54" s="307">
        <f t="shared" si="17"/>
        <v>8.5400000000000004E-2</v>
      </c>
      <c r="K54" s="307">
        <f t="shared" si="17"/>
        <v>0.1164</v>
      </c>
      <c r="L54" s="307">
        <f t="shared" si="17"/>
        <v>0.10780000000000001</v>
      </c>
      <c r="M54" s="307">
        <f t="shared" si="17"/>
        <v>0.1</v>
      </c>
      <c r="N54" s="307">
        <f t="shared" si="17"/>
        <v>9.2700000000000005E-2</v>
      </c>
      <c r="O54" s="307">
        <f t="shared" si="17"/>
        <v>8.3799999999999999E-2</v>
      </c>
      <c r="P54" s="307">
        <f t="shared" si="17"/>
        <v>7.5700000000000003E-2</v>
      </c>
      <c r="Q54" s="307">
        <f t="shared" si="17"/>
        <v>5.91E-2</v>
      </c>
      <c r="R54" s="307">
        <f t="shared" si="17"/>
        <v>5.2600000000000001E-2</v>
      </c>
      <c r="S54" s="307">
        <f t="shared" si="17"/>
        <v>4.3400000000000001E-2</v>
      </c>
      <c r="T54" s="307">
        <f t="shared" si="17"/>
        <v>3.5099999999999999E-2</v>
      </c>
      <c r="U54" s="307">
        <f t="shared" si="17"/>
        <v>2.8500000000000001E-2</v>
      </c>
      <c r="V54" s="307">
        <f t="shared" si="17"/>
        <v>1.43E-2</v>
      </c>
    </row>
    <row r="55" spans="2:22" ht="29.25" customHeight="1" thickTop="1" thickBot="1">
      <c r="B55" s="267" t="s">
        <v>37</v>
      </c>
      <c r="C55" s="268">
        <f t="shared" ref="C55:V55" si="18">SUM(C56+C58+C60+C61)</f>
        <v>124622625</v>
      </c>
      <c r="D55" s="268">
        <f t="shared" si="18"/>
        <v>153069465</v>
      </c>
      <c r="E55" s="268">
        <f t="shared" si="18"/>
        <v>180224937</v>
      </c>
      <c r="F55" s="268">
        <f t="shared" si="18"/>
        <v>255389661</v>
      </c>
      <c r="G55" s="268">
        <f t="shared" si="18"/>
        <v>346368661</v>
      </c>
      <c r="H55" s="268">
        <f t="shared" si="18"/>
        <v>318414328</v>
      </c>
      <c r="I55" s="268">
        <f t="shared" si="18"/>
        <v>290459995</v>
      </c>
      <c r="J55" s="268">
        <f t="shared" si="18"/>
        <v>262505662</v>
      </c>
      <c r="K55" s="268">
        <f t="shared" si="18"/>
        <v>234551329</v>
      </c>
      <c r="L55" s="268">
        <f t="shared" si="18"/>
        <v>206596996</v>
      </c>
      <c r="M55" s="268">
        <f t="shared" si="18"/>
        <v>178642663</v>
      </c>
      <c r="N55" s="268">
        <f t="shared" si="18"/>
        <v>150688330</v>
      </c>
      <c r="O55" s="268">
        <f t="shared" si="18"/>
        <v>123558674</v>
      </c>
      <c r="P55" s="268">
        <f t="shared" si="18"/>
        <v>97260341</v>
      </c>
      <c r="Q55" s="268">
        <f t="shared" si="18"/>
        <v>76284808</v>
      </c>
      <c r="R55" s="268">
        <f t="shared" si="18"/>
        <v>56025275</v>
      </c>
      <c r="S55" s="268">
        <f t="shared" si="18"/>
        <v>37432404</v>
      </c>
      <c r="T55" s="269">
        <f t="shared" si="18"/>
        <v>21432871</v>
      </c>
      <c r="U55" s="268">
        <f t="shared" si="18"/>
        <v>7433338</v>
      </c>
      <c r="V55" s="268">
        <f t="shared" si="18"/>
        <v>0</v>
      </c>
    </row>
    <row r="56" spans="2:22" ht="19.5" customHeight="1" thickTop="1">
      <c r="B56" s="227" t="s">
        <v>38</v>
      </c>
      <c r="C56" s="308">
        <v>0</v>
      </c>
      <c r="D56" s="308">
        <v>0</v>
      </c>
      <c r="E56" s="308">
        <v>0</v>
      </c>
      <c r="F56" s="308">
        <v>0</v>
      </c>
      <c r="G56" s="308">
        <v>0</v>
      </c>
      <c r="H56" s="308">
        <v>0</v>
      </c>
      <c r="I56" s="308">
        <v>0</v>
      </c>
      <c r="J56" s="308">
        <v>0</v>
      </c>
      <c r="K56" s="308">
        <v>0</v>
      </c>
      <c r="L56" s="308">
        <v>0</v>
      </c>
      <c r="M56" s="308">
        <v>0</v>
      </c>
      <c r="N56" s="308">
        <v>0</v>
      </c>
      <c r="O56" s="308">
        <v>0</v>
      </c>
      <c r="P56" s="308">
        <v>0</v>
      </c>
      <c r="Q56" s="308">
        <v>0</v>
      </c>
      <c r="R56" s="308">
        <v>0</v>
      </c>
      <c r="S56" s="308">
        <v>0</v>
      </c>
      <c r="T56" s="308">
        <v>0</v>
      </c>
      <c r="U56" s="308">
        <v>0</v>
      </c>
      <c r="V56" s="308">
        <v>0</v>
      </c>
    </row>
    <row r="57" spans="2:22" ht="33" customHeight="1">
      <c r="B57" s="232" t="s">
        <v>39</v>
      </c>
      <c r="C57" s="303">
        <v>0</v>
      </c>
      <c r="D57" s="303">
        <v>0</v>
      </c>
      <c r="E57" s="303">
        <v>0</v>
      </c>
      <c r="F57" s="303">
        <v>0</v>
      </c>
      <c r="G57" s="303">
        <v>0</v>
      </c>
      <c r="H57" s="303">
        <v>0</v>
      </c>
      <c r="I57" s="303">
        <v>0</v>
      </c>
      <c r="J57" s="303">
        <v>0</v>
      </c>
      <c r="K57" s="303">
        <v>0</v>
      </c>
      <c r="L57" s="303">
        <v>0</v>
      </c>
      <c r="M57" s="303">
        <v>0</v>
      </c>
      <c r="N57" s="303">
        <v>0</v>
      </c>
      <c r="O57" s="303">
        <v>0</v>
      </c>
      <c r="P57" s="303">
        <v>0</v>
      </c>
      <c r="Q57" s="303">
        <v>0</v>
      </c>
      <c r="R57" s="303">
        <v>0</v>
      </c>
      <c r="S57" s="303">
        <v>0</v>
      </c>
      <c r="T57" s="303">
        <v>0</v>
      </c>
      <c r="U57" s="303">
        <v>0</v>
      </c>
      <c r="V57" s="303">
        <v>0</v>
      </c>
    </row>
    <row r="58" spans="2:22" ht="21" customHeight="1">
      <c r="B58" s="232" t="s">
        <v>40</v>
      </c>
      <c r="C58" s="303">
        <v>123267723</v>
      </c>
      <c r="D58" s="303">
        <f>152806261</f>
        <v>152806261</v>
      </c>
      <c r="E58" s="303">
        <f>SUM('Raty spłat'!B58,'Raty spłat'!C58)</f>
        <v>180217462</v>
      </c>
      <c r="F58" s="303">
        <f>SUM('Raty spłat'!$B59)</f>
        <v>255389661</v>
      </c>
      <c r="G58" s="303">
        <f>SUM('Raty spłat'!$B60)</f>
        <v>346368661</v>
      </c>
      <c r="H58" s="303">
        <f>SUM('Raty spłat'!$B61)</f>
        <v>318414328</v>
      </c>
      <c r="I58" s="303">
        <f>SUM('Raty spłat'!$B62)</f>
        <v>290459995</v>
      </c>
      <c r="J58" s="303">
        <f>SUM('Raty spłat'!$B63)</f>
        <v>262505662</v>
      </c>
      <c r="K58" s="303">
        <f>SUM('Raty spłat'!$B64)</f>
        <v>234551329</v>
      </c>
      <c r="L58" s="303">
        <f>SUM('Raty spłat'!$B65)</f>
        <v>206596996</v>
      </c>
      <c r="M58" s="303">
        <f>SUM('Raty spłat'!$B66)</f>
        <v>178642663</v>
      </c>
      <c r="N58" s="303">
        <f>SUM('Raty spłat'!$B67)</f>
        <v>150688330</v>
      </c>
      <c r="O58" s="303">
        <f>SUM('Raty spłat'!$B68)</f>
        <v>123558674</v>
      </c>
      <c r="P58" s="303">
        <f>SUM('Raty spłat'!$B69)</f>
        <v>97260341</v>
      </c>
      <c r="Q58" s="303">
        <f>SUM('Raty spłat'!$B70)</f>
        <v>76284808</v>
      </c>
      <c r="R58" s="303">
        <f>SUM('Raty spłat'!$B71)</f>
        <v>56025275</v>
      </c>
      <c r="S58" s="303">
        <f>SUM('Raty spłat'!$B72)</f>
        <v>37432404</v>
      </c>
      <c r="T58" s="303">
        <f>SUM('Raty spłat'!$B73)</f>
        <v>21432871</v>
      </c>
      <c r="U58" s="303">
        <f>SUM('Raty spłat'!$B74)</f>
        <v>7433338</v>
      </c>
      <c r="V58" s="303">
        <f>SUM('Raty spłat'!$B75)</f>
        <v>0</v>
      </c>
    </row>
    <row r="59" spans="2:22" ht="37.5" customHeight="1">
      <c r="B59" s="232" t="s">
        <v>41</v>
      </c>
      <c r="C59" s="303">
        <v>0</v>
      </c>
      <c r="D59" s="303">
        <v>0</v>
      </c>
      <c r="E59" s="303">
        <v>0</v>
      </c>
      <c r="F59" s="303">
        <v>0</v>
      </c>
      <c r="G59" s="303">
        <v>0</v>
      </c>
      <c r="H59" s="303">
        <v>0</v>
      </c>
      <c r="I59" s="303">
        <v>0</v>
      </c>
      <c r="J59" s="303">
        <v>0</v>
      </c>
      <c r="K59" s="303">
        <v>0</v>
      </c>
      <c r="L59" s="303">
        <v>0</v>
      </c>
      <c r="M59" s="303">
        <v>0</v>
      </c>
      <c r="N59" s="303">
        <v>0</v>
      </c>
      <c r="O59" s="303">
        <v>0</v>
      </c>
      <c r="P59" s="303">
        <v>0</v>
      </c>
      <c r="Q59" s="303">
        <v>0</v>
      </c>
      <c r="R59" s="303">
        <v>0</v>
      </c>
      <c r="S59" s="303">
        <v>0</v>
      </c>
      <c r="T59" s="303">
        <v>0</v>
      </c>
      <c r="U59" s="303">
        <v>0</v>
      </c>
      <c r="V59" s="303">
        <v>0</v>
      </c>
    </row>
    <row r="60" spans="2:22" ht="18.75" customHeight="1">
      <c r="B60" s="232" t="s">
        <v>42</v>
      </c>
      <c r="C60" s="272">
        <v>0</v>
      </c>
      <c r="D60" s="272">
        <v>0</v>
      </c>
      <c r="E60" s="272">
        <v>0</v>
      </c>
      <c r="F60" s="272">
        <v>0</v>
      </c>
      <c r="G60" s="272">
        <v>0</v>
      </c>
      <c r="H60" s="272">
        <v>0</v>
      </c>
      <c r="I60" s="272">
        <v>0</v>
      </c>
      <c r="J60" s="272">
        <v>0</v>
      </c>
      <c r="K60" s="272">
        <v>0</v>
      </c>
      <c r="L60" s="272">
        <v>0</v>
      </c>
      <c r="M60" s="272">
        <v>0</v>
      </c>
      <c r="N60" s="272">
        <v>0</v>
      </c>
      <c r="O60" s="272">
        <v>0</v>
      </c>
      <c r="P60" s="272">
        <v>0</v>
      </c>
      <c r="Q60" s="272">
        <v>0</v>
      </c>
      <c r="R60" s="272">
        <v>0</v>
      </c>
      <c r="S60" s="272">
        <v>0</v>
      </c>
      <c r="T60" s="272">
        <v>0</v>
      </c>
      <c r="U60" s="272">
        <v>0</v>
      </c>
      <c r="V60" s="272">
        <v>0</v>
      </c>
    </row>
    <row r="61" spans="2:22" ht="19.5" customHeight="1" thickBot="1">
      <c r="B61" s="236" t="s">
        <v>43</v>
      </c>
      <c r="C61" s="239">
        <v>1354902</v>
      </c>
      <c r="D61" s="309">
        <f>4303766-4040562</f>
        <v>263204</v>
      </c>
      <c r="E61" s="239">
        <v>7475</v>
      </c>
      <c r="F61" s="239">
        <v>0</v>
      </c>
      <c r="G61" s="239">
        <v>0</v>
      </c>
      <c r="H61" s="239">
        <v>0</v>
      </c>
      <c r="I61" s="239">
        <v>0</v>
      </c>
      <c r="J61" s="239">
        <v>0</v>
      </c>
      <c r="K61" s="239">
        <v>0</v>
      </c>
      <c r="L61" s="239">
        <v>0</v>
      </c>
      <c r="M61" s="239">
        <v>0</v>
      </c>
      <c r="N61" s="239">
        <v>0</v>
      </c>
      <c r="O61" s="239">
        <v>0</v>
      </c>
      <c r="P61" s="239">
        <v>0</v>
      </c>
      <c r="Q61" s="239">
        <v>0</v>
      </c>
      <c r="R61" s="239">
        <v>0</v>
      </c>
      <c r="S61" s="239">
        <v>0</v>
      </c>
      <c r="T61" s="280">
        <v>0</v>
      </c>
      <c r="U61" s="310">
        <v>0</v>
      </c>
      <c r="V61" s="310">
        <v>0</v>
      </c>
    </row>
    <row r="62" spans="2:22" ht="20.25" customHeight="1" thickBot="1">
      <c r="B62" s="282" t="s">
        <v>52</v>
      </c>
      <c r="C62" s="311">
        <f>ROUND(SUM(C55-C57-C59)/C15,4)</f>
        <v>0.15870000000000001</v>
      </c>
      <c r="D62" s="312">
        <f t="shared" ref="D62:V62" si="19">ROUND(SUM(D55-D57-D59)/D15,4)</f>
        <v>0.29409999999999997</v>
      </c>
      <c r="E62" s="312">
        <f t="shared" si="19"/>
        <v>0.3231</v>
      </c>
      <c r="F62" s="312">
        <f t="shared" si="19"/>
        <v>0.35199999999999998</v>
      </c>
      <c r="G62" s="312">
        <f t="shared" si="19"/>
        <v>0.29959999999999998</v>
      </c>
      <c r="H62" s="312">
        <f t="shared" si="19"/>
        <v>0.32090000000000002</v>
      </c>
      <c r="I62" s="312">
        <f t="shared" si="19"/>
        <v>0.36449999999999999</v>
      </c>
      <c r="J62" s="312">
        <f t="shared" si="19"/>
        <v>0.4672</v>
      </c>
      <c r="K62" s="312">
        <f t="shared" si="19"/>
        <v>0.59250000000000003</v>
      </c>
      <c r="L62" s="312">
        <f t="shared" si="19"/>
        <v>0.50439999999999996</v>
      </c>
      <c r="M62" s="312">
        <f t="shared" si="19"/>
        <v>0.42180000000000001</v>
      </c>
      <c r="N62" s="312">
        <f t="shared" si="19"/>
        <v>0.34439999999999998</v>
      </c>
      <c r="O62" s="312">
        <f t="shared" si="19"/>
        <v>0.2737</v>
      </c>
      <c r="P62" s="312">
        <f t="shared" si="19"/>
        <v>0.20910000000000001</v>
      </c>
      <c r="Q62" s="312">
        <f t="shared" si="19"/>
        <v>0.1598</v>
      </c>
      <c r="R62" s="312">
        <f t="shared" si="19"/>
        <v>0.114</v>
      </c>
      <c r="S62" s="312">
        <f t="shared" si="19"/>
        <v>7.3899999999999993E-2</v>
      </c>
      <c r="T62" s="312">
        <f t="shared" si="19"/>
        <v>4.1099999999999998E-2</v>
      </c>
      <c r="U62" s="312">
        <f t="shared" si="19"/>
        <v>1.3899999999999999E-2</v>
      </c>
      <c r="V62" s="312">
        <f t="shared" si="19"/>
        <v>0</v>
      </c>
    </row>
    <row r="63" spans="2:22" ht="40.5" customHeight="1" thickBot="1">
      <c r="B63" s="282" t="s">
        <v>44</v>
      </c>
      <c r="C63" s="313" t="s">
        <v>45</v>
      </c>
      <c r="D63" s="313" t="s">
        <v>45</v>
      </c>
      <c r="E63" s="313" t="s">
        <v>45</v>
      </c>
      <c r="F63" s="314">
        <f>ROUND(SUM(C68+D68+E68)*1/3,4)</f>
        <v>0.1036</v>
      </c>
      <c r="G63" s="314">
        <f>ROUND(SUM(D68+E68+F68)*1/3,4)</f>
        <v>9.9000000000000005E-2</v>
      </c>
      <c r="H63" s="314">
        <f>ROUND(SUM(E68+F68+G68)*1/3,4)</f>
        <v>6.2700000000000006E-2</v>
      </c>
      <c r="I63" s="314">
        <f>ROUND(SUM(F68+G68+H68)*1/3,4)</f>
        <v>6.6799999999999998E-2</v>
      </c>
      <c r="J63" s="314">
        <f t="shared" ref="J63:V63" si="20">ROUND(SUM(G68+H68+I68)*1/3,4)</f>
        <v>9.2700000000000005E-2</v>
      </c>
      <c r="K63" s="314">
        <f t="shared" si="20"/>
        <v>0.1227</v>
      </c>
      <c r="L63" s="314">
        <f t="shared" si="20"/>
        <v>0.13500000000000001</v>
      </c>
      <c r="M63" s="314">
        <f t="shared" si="20"/>
        <v>0.1411</v>
      </c>
      <c r="N63" s="314">
        <f t="shared" si="20"/>
        <v>0.15</v>
      </c>
      <c r="O63" s="314">
        <f t="shared" si="20"/>
        <v>0.16259999999999999</v>
      </c>
      <c r="P63" s="314">
        <f t="shared" si="20"/>
        <v>0.1741</v>
      </c>
      <c r="Q63" s="314">
        <f t="shared" si="20"/>
        <v>0.18440000000000001</v>
      </c>
      <c r="R63" s="314">
        <f t="shared" si="20"/>
        <v>0.19270000000000001</v>
      </c>
      <c r="S63" s="314">
        <f t="shared" si="20"/>
        <v>0.20050000000000001</v>
      </c>
      <c r="T63" s="314">
        <f t="shared" si="20"/>
        <v>0.20849999999999999</v>
      </c>
      <c r="U63" s="314">
        <f t="shared" si="20"/>
        <v>0.21659999999999999</v>
      </c>
      <c r="V63" s="314">
        <f t="shared" si="20"/>
        <v>0.22389999999999999</v>
      </c>
    </row>
    <row r="64" spans="2:22" s="317" customFormat="1" ht="36" customHeight="1" thickBot="1">
      <c r="B64" s="315" t="s">
        <v>46</v>
      </c>
      <c r="C64" s="316" t="s">
        <v>45</v>
      </c>
      <c r="D64" s="316" t="s">
        <v>45</v>
      </c>
      <c r="E64" s="316" t="s">
        <v>45</v>
      </c>
      <c r="F64" s="314">
        <f>ROUND(SUM(F37+F49+F44)/F15,4)</f>
        <v>3.3300000000000003E-2</v>
      </c>
      <c r="G64" s="314">
        <f>ROUND(SUM(G37+G49+G44)/G15,4)</f>
        <v>3.7100000000000001E-2</v>
      </c>
      <c r="H64" s="314">
        <f t="shared" ref="H64:V64" si="21">ROUND(SUM(H37+H49+H44)/H15,4)</f>
        <v>5.4600000000000003E-2</v>
      </c>
      <c r="I64" s="314">
        <f>ROUND(SUM(I37+I49+I44)/I15,4)</f>
        <v>6.5600000000000006E-2</v>
      </c>
      <c r="J64" s="314">
        <f t="shared" si="21"/>
        <v>8.9700000000000002E-2</v>
      </c>
      <c r="K64" s="314">
        <f t="shared" si="21"/>
        <v>0.1222</v>
      </c>
      <c r="L64" s="314">
        <f t="shared" si="21"/>
        <v>0.1132</v>
      </c>
      <c r="M64" s="314">
        <f t="shared" si="21"/>
        <v>0.105</v>
      </c>
      <c r="N64" s="314">
        <f t="shared" si="21"/>
        <v>9.7299999999999998E-2</v>
      </c>
      <c r="O64" s="314">
        <f t="shared" si="21"/>
        <v>8.8099999999999998E-2</v>
      </c>
      <c r="P64" s="314">
        <f t="shared" si="21"/>
        <v>7.9699999999999993E-2</v>
      </c>
      <c r="Q64" s="314">
        <f t="shared" si="21"/>
        <v>5.91E-2</v>
      </c>
      <c r="R64" s="314">
        <f t="shared" si="21"/>
        <v>5.2600000000000001E-2</v>
      </c>
      <c r="S64" s="314">
        <f t="shared" si="21"/>
        <v>4.3400000000000001E-2</v>
      </c>
      <c r="T64" s="314">
        <f t="shared" si="21"/>
        <v>3.5099999999999999E-2</v>
      </c>
      <c r="U64" s="314">
        <f t="shared" si="21"/>
        <v>2.8500000000000001E-2</v>
      </c>
      <c r="V64" s="314">
        <f t="shared" si="21"/>
        <v>1.43E-2</v>
      </c>
    </row>
    <row r="65" spans="2:23" s="318" customFormat="1" ht="13.5" thickTop="1"/>
    <row r="66" spans="2:23" s="321" customFormat="1" ht="13.5" hidden="1" customHeight="1">
      <c r="B66" s="319" t="s">
        <v>187</v>
      </c>
      <c r="C66" s="320">
        <f>C16-C20</f>
        <v>52767216</v>
      </c>
      <c r="D66" s="320">
        <f t="shared" ref="D66:V66" si="22">D16-D20</f>
        <v>80006410</v>
      </c>
      <c r="E66" s="320">
        <f t="shared" si="22"/>
        <v>48515968</v>
      </c>
      <c r="F66" s="320">
        <f t="shared" si="22"/>
        <v>29041692</v>
      </c>
      <c r="G66" s="320">
        <f t="shared" si="22"/>
        <v>42495481</v>
      </c>
      <c r="H66" s="320">
        <f t="shared" si="22"/>
        <v>95992381</v>
      </c>
      <c r="I66" s="320">
        <f t="shared" si="22"/>
        <v>102151207</v>
      </c>
      <c r="J66" s="320">
        <f t="shared" si="22"/>
        <v>76574629</v>
      </c>
      <c r="K66" s="320">
        <f t="shared" si="22"/>
        <v>54141340</v>
      </c>
      <c r="L66" s="320">
        <f t="shared" si="22"/>
        <v>61572129</v>
      </c>
      <c r="M66" s="320">
        <f t="shared" si="22"/>
        <v>69022871</v>
      </c>
      <c r="N66" s="320">
        <f t="shared" si="22"/>
        <v>76397697</v>
      </c>
      <c r="O66" s="320">
        <f t="shared" si="22"/>
        <v>83359856</v>
      </c>
      <c r="P66" s="320">
        <f t="shared" si="22"/>
        <v>90167152</v>
      </c>
      <c r="Q66" s="320">
        <f t="shared" si="22"/>
        <v>95242029</v>
      </c>
      <c r="R66" s="320">
        <f t="shared" si="22"/>
        <v>102354431</v>
      </c>
      <c r="S66" s="320">
        <f t="shared" si="22"/>
        <v>110136200</v>
      </c>
      <c r="T66" s="320">
        <f t="shared" si="22"/>
        <v>116725161</v>
      </c>
      <c r="U66" s="320">
        <f t="shared" si="22"/>
        <v>123352428</v>
      </c>
      <c r="V66" s="320">
        <f t="shared" si="22"/>
        <v>130450596</v>
      </c>
    </row>
    <row r="67" spans="2:23" s="318" customFormat="1" hidden="1"/>
    <row r="68" spans="2:23" s="324" customFormat="1" hidden="1">
      <c r="B68" s="322" t="s">
        <v>66</v>
      </c>
      <c r="C68" s="318">
        <f>ROUND(SUM(C16+C18-C20)/C15,4)</f>
        <v>6.8199999999999997E-2</v>
      </c>
      <c r="D68" s="318">
        <f t="shared" ref="D68:V68" si="23">ROUND(SUM(D16+D18-D20)/D15,4)</f>
        <v>0.1552</v>
      </c>
      <c r="E68" s="318">
        <f t="shared" si="23"/>
        <v>8.7400000000000005E-2</v>
      </c>
      <c r="F68" s="318">
        <f t="shared" si="23"/>
        <v>5.4300000000000001E-2</v>
      </c>
      <c r="G68" s="318">
        <f t="shared" si="23"/>
        <v>4.6300000000000001E-2</v>
      </c>
      <c r="H68" s="318">
        <f t="shared" si="23"/>
        <v>9.98E-2</v>
      </c>
      <c r="I68" s="318">
        <f t="shared" si="23"/>
        <v>0.13189999999999999</v>
      </c>
      <c r="J68" s="318">
        <f t="shared" si="23"/>
        <v>0.1363</v>
      </c>
      <c r="K68" s="318">
        <f t="shared" si="23"/>
        <v>0.1368</v>
      </c>
      <c r="L68" s="318">
        <f t="shared" si="23"/>
        <v>0.15029999999999999</v>
      </c>
      <c r="M68" s="318">
        <f t="shared" si="23"/>
        <v>0.16300000000000001</v>
      </c>
      <c r="N68" s="318">
        <f t="shared" si="23"/>
        <v>0.17460000000000001</v>
      </c>
      <c r="O68" s="318">
        <f t="shared" si="23"/>
        <v>0.1847</v>
      </c>
      <c r="P68" s="318">
        <f t="shared" si="23"/>
        <v>0.1938</v>
      </c>
      <c r="Q68" s="318">
        <f t="shared" si="23"/>
        <v>0.1996</v>
      </c>
      <c r="R68" s="318">
        <f t="shared" si="23"/>
        <v>0.2082</v>
      </c>
      <c r="S68" s="318">
        <f t="shared" si="23"/>
        <v>0.21759999999999999</v>
      </c>
      <c r="T68" s="318">
        <f t="shared" si="23"/>
        <v>0.22409999999999999</v>
      </c>
      <c r="U68" s="318">
        <f t="shared" si="23"/>
        <v>0.2301</v>
      </c>
      <c r="V68" s="318">
        <f t="shared" si="23"/>
        <v>0.23649999999999999</v>
      </c>
      <c r="W68" s="323"/>
    </row>
    <row r="69" spans="2:23" s="324" customFormat="1" hidden="1">
      <c r="B69" s="322" t="s">
        <v>66</v>
      </c>
      <c r="C69" s="325">
        <f>C68</f>
        <v>6.8199999999999997E-2</v>
      </c>
      <c r="D69" s="325">
        <f t="shared" ref="D69:V69" si="24">D68</f>
        <v>0.1552</v>
      </c>
      <c r="E69" s="325">
        <f t="shared" si="24"/>
        <v>8.7400000000000005E-2</v>
      </c>
      <c r="F69" s="325">
        <f t="shared" si="24"/>
        <v>5.4300000000000001E-2</v>
      </c>
      <c r="G69" s="325">
        <f t="shared" si="24"/>
        <v>4.6300000000000001E-2</v>
      </c>
      <c r="H69" s="325">
        <f t="shared" si="24"/>
        <v>9.98E-2</v>
      </c>
      <c r="I69" s="325">
        <f t="shared" si="24"/>
        <v>0.13189999999999999</v>
      </c>
      <c r="J69" s="325">
        <f t="shared" si="24"/>
        <v>0.1363</v>
      </c>
      <c r="K69" s="325">
        <f t="shared" si="24"/>
        <v>0.1368</v>
      </c>
      <c r="L69" s="325">
        <f t="shared" si="24"/>
        <v>0.15029999999999999</v>
      </c>
      <c r="M69" s="325">
        <f t="shared" si="24"/>
        <v>0.16300000000000001</v>
      </c>
      <c r="N69" s="325">
        <f t="shared" si="24"/>
        <v>0.17460000000000001</v>
      </c>
      <c r="O69" s="325">
        <f t="shared" si="24"/>
        <v>0.1847</v>
      </c>
      <c r="P69" s="325">
        <f t="shared" si="24"/>
        <v>0.1938</v>
      </c>
      <c r="Q69" s="325">
        <f t="shared" si="24"/>
        <v>0.1996</v>
      </c>
      <c r="R69" s="325">
        <f t="shared" si="24"/>
        <v>0.2082</v>
      </c>
      <c r="S69" s="325">
        <f t="shared" si="24"/>
        <v>0.21759999999999999</v>
      </c>
      <c r="T69" s="325">
        <f t="shared" si="24"/>
        <v>0.22409999999999999</v>
      </c>
      <c r="U69" s="325">
        <f t="shared" si="24"/>
        <v>0.2301</v>
      </c>
      <c r="V69" s="325">
        <f t="shared" si="24"/>
        <v>0.23649999999999999</v>
      </c>
    </row>
    <row r="70" spans="2:23" s="324" customFormat="1" hidden="1">
      <c r="B70" s="322"/>
    </row>
    <row r="71" spans="2:23" s="324" customFormat="1" hidden="1">
      <c r="B71" s="324" t="s">
        <v>69</v>
      </c>
      <c r="F71" s="324" t="b">
        <f t="shared" ref="F71:V71" si="25">F64&lt;F63</f>
        <v>1</v>
      </c>
      <c r="G71" s="324" t="b">
        <f t="shared" si="25"/>
        <v>1</v>
      </c>
      <c r="H71" s="326" t="b">
        <f>H64&lt;H63</f>
        <v>1</v>
      </c>
      <c r="I71" s="326" t="b">
        <f t="shared" si="25"/>
        <v>1</v>
      </c>
      <c r="J71" s="326" t="b">
        <f t="shared" si="25"/>
        <v>1</v>
      </c>
      <c r="K71" s="326" t="b">
        <f t="shared" si="25"/>
        <v>1</v>
      </c>
      <c r="L71" s="326" t="b">
        <f t="shared" si="25"/>
        <v>1</v>
      </c>
      <c r="M71" s="326" t="b">
        <f t="shared" si="25"/>
        <v>1</v>
      </c>
      <c r="N71" s="326" t="b">
        <f t="shared" si="25"/>
        <v>1</v>
      </c>
      <c r="O71" s="326" t="b">
        <f t="shared" si="25"/>
        <v>1</v>
      </c>
      <c r="P71" s="324" t="b">
        <f t="shared" si="25"/>
        <v>1</v>
      </c>
      <c r="Q71" s="324" t="b">
        <f t="shared" si="25"/>
        <v>1</v>
      </c>
      <c r="R71" s="324" t="b">
        <f t="shared" si="25"/>
        <v>1</v>
      </c>
      <c r="S71" s="324" t="b">
        <f t="shared" si="25"/>
        <v>1</v>
      </c>
      <c r="T71" s="324" t="b">
        <f t="shared" si="25"/>
        <v>1</v>
      </c>
      <c r="U71" s="324" t="b">
        <f t="shared" si="25"/>
        <v>1</v>
      </c>
      <c r="V71" s="324" t="b">
        <f t="shared" si="25"/>
        <v>1</v>
      </c>
    </row>
    <row r="72" spans="2:23" s="324" customFormat="1" hidden="1"/>
    <row r="73" spans="2:23" s="324" customFormat="1" hidden="1"/>
    <row r="74" spans="2:23" s="324" customFormat="1" hidden="1">
      <c r="B74" s="327" t="s">
        <v>118</v>
      </c>
      <c r="E74" s="328">
        <f>E20-E49</f>
        <v>363415751</v>
      </c>
      <c r="F74" s="328">
        <f>F20-F49</f>
        <v>425492190</v>
      </c>
      <c r="G74" s="328">
        <f t="shared" ref="G74:V74" si="26">G20-G49</f>
        <v>421023936</v>
      </c>
      <c r="H74" s="328">
        <f t="shared" si="26"/>
        <v>379695212</v>
      </c>
      <c r="I74" s="328">
        <f>I20-I49</f>
        <v>369883353</v>
      </c>
      <c r="J74" s="328">
        <f t="shared" si="26"/>
        <v>291859709</v>
      </c>
      <c r="K74" s="328">
        <f t="shared" si="26"/>
        <v>299027086</v>
      </c>
      <c r="L74" s="328">
        <f t="shared" si="26"/>
        <v>306078571</v>
      </c>
      <c r="M74" s="328">
        <f t="shared" si="26"/>
        <v>313301236</v>
      </c>
      <c r="N74" s="328">
        <f t="shared" si="26"/>
        <v>320699273</v>
      </c>
      <c r="O74" s="328">
        <f t="shared" si="26"/>
        <v>328276636</v>
      </c>
      <c r="P74" s="328">
        <f t="shared" si="26"/>
        <v>336037886</v>
      </c>
      <c r="Q74" s="328">
        <f t="shared" si="26"/>
        <v>343652748</v>
      </c>
      <c r="R74" s="328">
        <f t="shared" si="26"/>
        <v>351134047</v>
      </c>
      <c r="S74" s="328">
        <f t="shared" si="26"/>
        <v>358225331</v>
      </c>
      <c r="T74" s="328">
        <f t="shared" si="26"/>
        <v>366464514</v>
      </c>
      <c r="U74" s="328">
        <f t="shared" si="26"/>
        <v>374893198</v>
      </c>
      <c r="V74" s="328">
        <f t="shared" si="26"/>
        <v>383140848</v>
      </c>
    </row>
    <row r="75" spans="2:23" s="324" customFormat="1" hidden="1">
      <c r="B75" s="327"/>
    </row>
    <row r="76" spans="2:23" s="324" customFormat="1" hidden="1">
      <c r="B76" s="327" t="s">
        <v>117</v>
      </c>
      <c r="F76" s="328">
        <f>F24+F25</f>
        <v>0</v>
      </c>
      <c r="G76" s="328">
        <f t="shared" ref="G76:V76" si="27">G24+G25</f>
        <v>0</v>
      </c>
      <c r="H76" s="328">
        <f t="shared" si="27"/>
        <v>0</v>
      </c>
      <c r="I76" s="328">
        <f>I24+I25</f>
        <v>0</v>
      </c>
      <c r="J76" s="328">
        <f t="shared" si="27"/>
        <v>0</v>
      </c>
      <c r="K76" s="328">
        <f t="shared" si="27"/>
        <v>0</v>
      </c>
      <c r="L76" s="328">
        <f t="shared" si="27"/>
        <v>0</v>
      </c>
      <c r="M76" s="328">
        <f t="shared" si="27"/>
        <v>0</v>
      </c>
      <c r="N76" s="328">
        <f t="shared" si="27"/>
        <v>0</v>
      </c>
      <c r="O76" s="328">
        <f t="shared" si="27"/>
        <v>0</v>
      </c>
      <c r="P76" s="328">
        <f t="shared" si="27"/>
        <v>0</v>
      </c>
      <c r="Q76" s="328">
        <f t="shared" si="27"/>
        <v>0</v>
      </c>
      <c r="R76" s="328">
        <f t="shared" si="27"/>
        <v>0</v>
      </c>
      <c r="S76" s="328">
        <f t="shared" si="27"/>
        <v>0</v>
      </c>
      <c r="T76" s="328">
        <f t="shared" si="27"/>
        <v>0</v>
      </c>
      <c r="U76" s="328">
        <f t="shared" si="27"/>
        <v>0</v>
      </c>
      <c r="V76" s="328">
        <f t="shared" si="27"/>
        <v>0</v>
      </c>
    </row>
    <row r="77" spans="2:23" s="328" customFormat="1" ht="12.75" hidden="1" customHeight="1">
      <c r="B77" s="327"/>
      <c r="H77" s="328">
        <v>6547367</v>
      </c>
      <c r="I77" s="328">
        <v>150572036</v>
      </c>
      <c r="J77" s="328">
        <v>209714780</v>
      </c>
      <c r="K77" s="328">
        <v>37869276</v>
      </c>
      <c r="L77" s="328">
        <v>45875523</v>
      </c>
      <c r="M77" s="328">
        <v>53898097</v>
      </c>
      <c r="N77" s="328">
        <v>61839210</v>
      </c>
      <c r="O77" s="328">
        <v>70184795</v>
      </c>
      <c r="P77" s="328">
        <v>78372559</v>
      </c>
      <c r="Q77" s="328">
        <v>89324698</v>
      </c>
      <c r="R77" s="328">
        <v>97726941</v>
      </c>
      <c r="S77" s="328">
        <v>107769237</v>
      </c>
      <c r="T77" s="328">
        <v>117531610</v>
      </c>
      <c r="U77" s="328">
        <v>126758292</v>
      </c>
      <c r="V77" s="328">
        <v>141061133</v>
      </c>
    </row>
    <row r="78" spans="2:23" s="328" customFormat="1">
      <c r="B78" s="327"/>
    </row>
    <row r="79" spans="2:23" s="324" customFormat="1"/>
    <row r="80" spans="2:23" s="324" customFormat="1"/>
    <row r="81" s="324" customFormat="1"/>
    <row r="82" s="324" customFormat="1"/>
    <row r="83" s="318" customFormat="1"/>
    <row r="84" s="318" customFormat="1"/>
    <row r="85" s="318" customFormat="1"/>
  </sheetData>
  <sheetProtection selectLockedCells="1" selectUnlockedCells="1"/>
  <mergeCells count="1">
    <mergeCell ref="B12:V12"/>
  </mergeCells>
  <phoneticPr fontId="2" type="noConversion"/>
  <printOptions horizontalCentered="1"/>
  <pageMargins left="0" right="0" top="0" bottom="0.39370078740157483" header="0" footer="0.19685039370078741"/>
  <pageSetup paperSize="9" scale="49" firstPageNumber="0" orientation="landscape" r:id="rId1"/>
  <headerFooter alignWithMargins="0">
    <oddFooter>Strona &amp;P z &amp;N</oddFooter>
  </headerFooter>
  <rowBreaks count="1" manualBreakCount="1">
    <brk id="46" min="1" max="2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I86"/>
  <sheetViews>
    <sheetView view="pageBreakPreview" topLeftCell="A3" zoomScale="85" zoomScaleNormal="85" zoomScaleSheetLayoutView="85" workbookViewId="0">
      <pane xSplit="8" ySplit="1" topLeftCell="I4" activePane="bottomRight" state="frozenSplit"/>
      <selection pane="topRight" activeCell="J3" sqref="J3"/>
      <selection pane="bottomLeft" activeCell="A37" sqref="A37"/>
      <selection pane="bottomRight" activeCell="J30" sqref="J30"/>
    </sheetView>
  </sheetViews>
  <sheetFormatPr defaultColWidth="9.140625" defaultRowHeight="12.75"/>
  <cols>
    <col min="1" max="1" width="9.42578125" style="2" customWidth="1"/>
    <col min="2" max="2" width="11.85546875" style="1" customWidth="1"/>
    <col min="3" max="3" width="10" style="1" hidden="1" customWidth="1"/>
    <col min="4" max="4" width="8.85546875" style="1" hidden="1" customWidth="1"/>
    <col min="5" max="5" width="9.85546875" style="1" hidden="1" customWidth="1"/>
    <col min="6" max="6" width="10" style="1" hidden="1" customWidth="1"/>
    <col min="7" max="8" width="9.85546875" style="1" hidden="1" customWidth="1"/>
    <col min="9" max="9" width="10" style="1" customWidth="1"/>
    <col min="10" max="10" width="13.42578125" style="1" customWidth="1"/>
    <col min="11" max="12" width="10" style="1" customWidth="1"/>
    <col min="13" max="14" width="10.5703125" style="1" customWidth="1"/>
    <col min="15" max="24" width="11.140625" style="1" customWidth="1"/>
    <col min="25" max="25" width="12.5703125" style="1" customWidth="1"/>
    <col min="26" max="28" width="9.28515625" style="1" customWidth="1"/>
    <col min="29" max="29" width="9.140625" style="1"/>
    <col min="30" max="30" width="9.28515625" style="1" bestFit="1" customWidth="1"/>
    <col min="31" max="16384" width="9.140625" style="1"/>
  </cols>
  <sheetData>
    <row r="1" spans="1:35" s="54" customFormat="1" ht="33.75" customHeight="1">
      <c r="A1" s="213" t="s">
        <v>193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  <c r="S1" s="213"/>
      <c r="T1" s="213"/>
      <c r="U1" s="213"/>
      <c r="V1" s="213"/>
      <c r="W1" s="213"/>
      <c r="X1" s="213"/>
      <c r="Y1" s="213"/>
    </row>
    <row r="2" spans="1:35" s="57" customFormat="1">
      <c r="A2" s="55"/>
      <c r="B2" s="56"/>
      <c r="C2" s="56"/>
      <c r="D2" s="56"/>
      <c r="E2" s="56"/>
      <c r="F2" s="56"/>
      <c r="G2" s="56" t="s">
        <v>116</v>
      </c>
      <c r="H2" s="56" t="s">
        <v>115</v>
      </c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 t="s">
        <v>114</v>
      </c>
    </row>
    <row r="3" spans="1:35" ht="30" customHeight="1">
      <c r="A3" s="31" t="s">
        <v>113</v>
      </c>
      <c r="B3" s="33">
        <v>13000000</v>
      </c>
      <c r="C3" s="33">
        <v>10265000</v>
      </c>
      <c r="D3" s="33">
        <v>3991800</v>
      </c>
      <c r="E3" s="33">
        <v>20480600</v>
      </c>
      <c r="F3" s="33">
        <f>32730000-14000000</f>
        <v>18730000</v>
      </c>
      <c r="G3" s="34">
        <f>42772300-4531000</f>
        <v>38241300</v>
      </c>
      <c r="H3" s="34">
        <v>21117323</v>
      </c>
      <c r="I3" s="33">
        <f>SUM(G3:H3)</f>
        <v>59358623</v>
      </c>
      <c r="J3" s="33">
        <f>13568077+31867700</f>
        <v>45435777</v>
      </c>
      <c r="K3" s="32">
        <f>14260900+20202000</f>
        <v>34462900</v>
      </c>
      <c r="L3" s="32">
        <v>10684000</v>
      </c>
      <c r="M3" s="32">
        <v>25000000</v>
      </c>
      <c r="N3" s="32">
        <v>38900000</v>
      </c>
      <c r="O3" s="39">
        <v>30000000</v>
      </c>
      <c r="P3" s="39">
        <f>98990000-496667-333</f>
        <v>98493000</v>
      </c>
      <c r="Q3" s="39">
        <f>-'kwota długu'!G24-'kwota długu'!G34+'kwota długu'!G37</f>
        <v>111500000</v>
      </c>
      <c r="R3" s="39">
        <f>-'kwota długu'!H24-'kwota długu'!H34+'kwota długu'!H37</f>
        <v>0</v>
      </c>
      <c r="S3" s="39">
        <f>-'kwota długu'!I24-'kwota długu'!I34+'kwota długu'!I37</f>
        <v>0</v>
      </c>
      <c r="T3" s="39">
        <v>0</v>
      </c>
      <c r="U3" s="39">
        <v>0</v>
      </c>
      <c r="V3" s="39">
        <v>0</v>
      </c>
      <c r="W3" s="39">
        <v>0</v>
      </c>
      <c r="X3" s="39">
        <v>0</v>
      </c>
      <c r="Y3" s="31" t="s">
        <v>112</v>
      </c>
      <c r="Z3" s="35"/>
      <c r="AA3" s="35"/>
      <c r="AB3" s="35"/>
      <c r="AC3" s="35"/>
      <c r="AD3" s="35"/>
      <c r="AE3" s="35"/>
      <c r="AF3" s="35"/>
      <c r="AG3" s="35"/>
      <c r="AH3" s="35"/>
      <c r="AI3" s="35"/>
    </row>
    <row r="4" spans="1:35" s="188" customFormat="1" ht="22.5" customHeight="1">
      <c r="A4" s="184"/>
      <c r="B4" s="185">
        <v>2000</v>
      </c>
      <c r="C4" s="185">
        <v>2001</v>
      </c>
      <c r="D4" s="185">
        <v>2002</v>
      </c>
      <c r="E4" s="185">
        <v>2003</v>
      </c>
      <c r="F4" s="185">
        <v>2004</v>
      </c>
      <c r="G4" s="186">
        <v>2005</v>
      </c>
      <c r="H4" s="186">
        <v>2005</v>
      </c>
      <c r="I4" s="185" t="s">
        <v>111</v>
      </c>
      <c r="J4" s="185">
        <v>2006</v>
      </c>
      <c r="K4" s="185">
        <v>2007</v>
      </c>
      <c r="L4" s="185">
        <v>2008</v>
      </c>
      <c r="M4" s="185">
        <v>2009</v>
      </c>
      <c r="N4" s="185">
        <v>2010</v>
      </c>
      <c r="O4" s="185">
        <v>2011</v>
      </c>
      <c r="P4" s="185">
        <v>2012</v>
      </c>
      <c r="Q4" s="185">
        <v>2013</v>
      </c>
      <c r="R4" s="185">
        <v>2014</v>
      </c>
      <c r="S4" s="185">
        <v>2015</v>
      </c>
      <c r="T4" s="185">
        <v>2016</v>
      </c>
      <c r="U4" s="185">
        <v>2017</v>
      </c>
      <c r="V4" s="185">
        <v>2018</v>
      </c>
      <c r="W4" s="185">
        <v>2019</v>
      </c>
      <c r="X4" s="185">
        <v>2020</v>
      </c>
      <c r="Y4" s="186"/>
      <c r="Z4" s="187">
        <v>2011</v>
      </c>
      <c r="AA4" s="187">
        <v>2012</v>
      </c>
      <c r="AB4" s="187">
        <v>2013</v>
      </c>
      <c r="AC4" s="187">
        <v>2014</v>
      </c>
      <c r="AD4" s="187">
        <v>2015</v>
      </c>
      <c r="AE4" s="187">
        <v>2016</v>
      </c>
      <c r="AF4" s="187">
        <v>2017</v>
      </c>
      <c r="AG4" s="187">
        <v>2018</v>
      </c>
      <c r="AH4" s="187">
        <v>2019</v>
      </c>
      <c r="AI4" s="187">
        <v>2020</v>
      </c>
    </row>
    <row r="5" spans="1:35" ht="31.5" customHeight="1">
      <c r="A5" s="31" t="s">
        <v>110</v>
      </c>
      <c r="B5" s="29" t="s">
        <v>108</v>
      </c>
      <c r="C5" s="29" t="s">
        <v>108</v>
      </c>
      <c r="D5" s="29" t="s">
        <v>109</v>
      </c>
      <c r="E5" s="29" t="s">
        <v>108</v>
      </c>
      <c r="F5" s="29" t="s">
        <v>108</v>
      </c>
      <c r="G5" s="29" t="s">
        <v>108</v>
      </c>
      <c r="H5" s="29" t="s">
        <v>107</v>
      </c>
      <c r="I5" s="29" t="s">
        <v>107</v>
      </c>
      <c r="J5" s="29" t="s">
        <v>106</v>
      </c>
      <c r="K5" s="29" t="s">
        <v>106</v>
      </c>
      <c r="L5" s="30" t="s">
        <v>106</v>
      </c>
      <c r="M5" s="30" t="s">
        <v>106</v>
      </c>
      <c r="N5" s="30" t="s">
        <v>106</v>
      </c>
      <c r="O5" s="41" t="s">
        <v>106</v>
      </c>
      <c r="P5" s="41" t="s">
        <v>106</v>
      </c>
      <c r="Q5" s="41" t="s">
        <v>106</v>
      </c>
      <c r="R5" s="41" t="s">
        <v>106</v>
      </c>
      <c r="S5" s="41" t="s">
        <v>106</v>
      </c>
      <c r="T5" s="41" t="s">
        <v>106</v>
      </c>
      <c r="U5" s="41" t="s">
        <v>106</v>
      </c>
      <c r="V5" s="41" t="s">
        <v>106</v>
      </c>
      <c r="W5" s="41" t="s">
        <v>106</v>
      </c>
      <c r="X5" s="41" t="s">
        <v>106</v>
      </c>
      <c r="Y5" s="29"/>
      <c r="Z5" s="35"/>
      <c r="AA5" s="35"/>
      <c r="AB5" s="35"/>
      <c r="AC5" s="35"/>
      <c r="AD5" s="35"/>
      <c r="AE5" s="35"/>
      <c r="AF5" s="35"/>
      <c r="AG5" s="35"/>
      <c r="AH5" s="35"/>
      <c r="AI5" s="35"/>
    </row>
    <row r="6" spans="1:35" s="7" customFormat="1" hidden="1">
      <c r="A6" s="28" t="s">
        <v>105</v>
      </c>
      <c r="B6" s="13">
        <v>4332000</v>
      </c>
      <c r="C6" s="13">
        <v>0</v>
      </c>
      <c r="D6" s="13"/>
      <c r="E6" s="13"/>
      <c r="F6" s="13"/>
      <c r="G6" s="16"/>
      <c r="H6" s="16"/>
      <c r="I6" s="13"/>
      <c r="J6" s="13"/>
      <c r="K6" s="11"/>
      <c r="L6" s="11"/>
      <c r="M6" s="11"/>
      <c r="N6" s="11"/>
      <c r="O6" s="42"/>
      <c r="P6" s="42"/>
      <c r="Q6" s="42"/>
      <c r="R6" s="42"/>
      <c r="S6" s="42"/>
      <c r="T6" s="42"/>
      <c r="U6" s="42"/>
      <c r="V6" s="42"/>
      <c r="W6" s="42"/>
      <c r="X6" s="42"/>
      <c r="Y6" s="13">
        <f t="shared" ref="Y6:Y12" si="0">SUM(B6:F6,I6:K6)</f>
        <v>4332000</v>
      </c>
      <c r="Z6" s="36"/>
      <c r="AA6" s="37"/>
      <c r="AB6" s="37"/>
      <c r="AC6" s="37"/>
      <c r="AD6" s="37"/>
      <c r="AE6" s="37"/>
      <c r="AF6" s="37"/>
      <c r="AG6" s="37"/>
      <c r="AH6" s="37"/>
      <c r="AI6" s="37"/>
    </row>
    <row r="7" spans="1:35" s="7" customFormat="1" hidden="1">
      <c r="A7" s="28" t="s">
        <v>104</v>
      </c>
      <c r="B7" s="13">
        <v>2280600</v>
      </c>
      <c r="C7" s="13">
        <v>1711200</v>
      </c>
      <c r="D7" s="13"/>
      <c r="E7" s="13"/>
      <c r="F7" s="13"/>
      <c r="G7" s="16"/>
      <c r="H7" s="16"/>
      <c r="I7" s="13"/>
      <c r="J7" s="13"/>
      <c r="K7" s="11"/>
      <c r="L7" s="11"/>
      <c r="M7" s="11"/>
      <c r="N7" s="11"/>
      <c r="O7" s="42"/>
      <c r="P7" s="42"/>
      <c r="Q7" s="42"/>
      <c r="R7" s="42"/>
      <c r="S7" s="42"/>
      <c r="T7" s="42"/>
      <c r="U7" s="42"/>
      <c r="V7" s="42"/>
      <c r="W7" s="42"/>
      <c r="X7" s="42"/>
      <c r="Y7" s="13">
        <f t="shared" si="0"/>
        <v>3991800</v>
      </c>
      <c r="Z7" s="36"/>
      <c r="AA7" s="37"/>
      <c r="AB7" s="37"/>
      <c r="AC7" s="37"/>
      <c r="AD7" s="37"/>
      <c r="AE7" s="37"/>
      <c r="AF7" s="37"/>
      <c r="AG7" s="37"/>
      <c r="AH7" s="37"/>
      <c r="AI7" s="37"/>
    </row>
    <row r="8" spans="1:35" s="7" customFormat="1" hidden="1">
      <c r="A8" s="28" t="s">
        <v>103</v>
      </c>
      <c r="B8" s="13">
        <v>1596800</v>
      </c>
      <c r="C8" s="13">
        <v>1711200</v>
      </c>
      <c r="D8" s="13">
        <v>1330600</v>
      </c>
      <c r="E8" s="13"/>
      <c r="F8" s="13"/>
      <c r="G8" s="16"/>
      <c r="H8" s="16"/>
      <c r="I8" s="13"/>
      <c r="J8" s="13"/>
      <c r="K8" s="11"/>
      <c r="L8" s="11"/>
      <c r="M8" s="11"/>
      <c r="N8" s="11"/>
      <c r="O8" s="42"/>
      <c r="P8" s="42"/>
      <c r="Q8" s="42"/>
      <c r="R8" s="42"/>
      <c r="S8" s="42"/>
      <c r="T8" s="42"/>
      <c r="U8" s="42"/>
      <c r="V8" s="42"/>
      <c r="W8" s="42"/>
      <c r="X8" s="42"/>
      <c r="Y8" s="13">
        <f t="shared" si="0"/>
        <v>4638600</v>
      </c>
      <c r="Z8" s="37"/>
      <c r="AA8" s="37"/>
      <c r="AB8" s="37"/>
      <c r="AC8" s="37"/>
      <c r="AD8" s="37"/>
      <c r="AE8" s="37"/>
      <c r="AF8" s="37"/>
      <c r="AG8" s="37"/>
      <c r="AH8" s="37"/>
      <c r="AI8" s="37"/>
    </row>
    <row r="9" spans="1:35" s="7" customFormat="1" hidden="1">
      <c r="A9" s="28" t="s">
        <v>102</v>
      </c>
      <c r="B9" s="13">
        <v>1596800</v>
      </c>
      <c r="C9" s="13">
        <v>1711200</v>
      </c>
      <c r="D9" s="13">
        <v>1330600</v>
      </c>
      <c r="E9" s="13">
        <v>3413500</v>
      </c>
      <c r="F9" s="13"/>
      <c r="G9" s="16"/>
      <c r="H9" s="16"/>
      <c r="I9" s="13"/>
      <c r="J9" s="13"/>
      <c r="K9" s="11"/>
      <c r="L9" s="11"/>
      <c r="M9" s="11"/>
      <c r="N9" s="11"/>
      <c r="O9" s="42"/>
      <c r="P9" s="42"/>
      <c r="Q9" s="42"/>
      <c r="R9" s="42"/>
      <c r="S9" s="42"/>
      <c r="T9" s="42"/>
      <c r="U9" s="42"/>
      <c r="V9" s="42"/>
      <c r="W9" s="42"/>
      <c r="X9" s="42"/>
      <c r="Y9" s="13">
        <f t="shared" si="0"/>
        <v>8052100</v>
      </c>
      <c r="Z9" s="37"/>
      <c r="AA9" s="37"/>
      <c r="AB9" s="37"/>
      <c r="AC9" s="37"/>
      <c r="AD9" s="37"/>
      <c r="AE9" s="37"/>
      <c r="AF9" s="37"/>
      <c r="AG9" s="37"/>
      <c r="AH9" s="37"/>
      <c r="AI9" s="37"/>
    </row>
    <row r="10" spans="1:35" s="7" customFormat="1" hidden="1">
      <c r="A10" s="27" t="s">
        <v>101</v>
      </c>
      <c r="B10" s="24">
        <v>1596800</v>
      </c>
      <c r="C10" s="24">
        <f>1711200-427800</f>
        <v>1283400</v>
      </c>
      <c r="D10" s="24">
        <v>1330600</v>
      </c>
      <c r="E10" s="24">
        <v>3413500</v>
      </c>
      <c r="F10" s="24">
        <f>16109367+263856</f>
        <v>16373223</v>
      </c>
      <c r="G10" s="26"/>
      <c r="H10" s="25"/>
      <c r="I10" s="24"/>
      <c r="J10" s="24"/>
      <c r="K10" s="11"/>
      <c r="L10" s="11"/>
      <c r="M10" s="11"/>
      <c r="N10" s="11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24">
        <f t="shared" si="0"/>
        <v>23997523</v>
      </c>
      <c r="Z10" s="37"/>
      <c r="AA10" s="37"/>
      <c r="AB10" s="37"/>
      <c r="AC10" s="37"/>
      <c r="AD10" s="37"/>
      <c r="AE10" s="37"/>
      <c r="AF10" s="37"/>
      <c r="AG10" s="37"/>
      <c r="AH10" s="37"/>
      <c r="AI10" s="37"/>
    </row>
    <row r="11" spans="1:35" s="7" customFormat="1" hidden="1">
      <c r="A11" s="27" t="s">
        <v>100</v>
      </c>
      <c r="B11" s="24">
        <v>1597000</v>
      </c>
      <c r="C11" s="24">
        <v>1711200</v>
      </c>
      <c r="D11" s="24"/>
      <c r="E11" s="24">
        <v>3413500</v>
      </c>
      <c r="F11" s="24">
        <v>472777</v>
      </c>
      <c r="G11" s="26">
        <f>6373600+31867700</f>
        <v>38241300</v>
      </c>
      <c r="H11" s="25"/>
      <c r="I11" s="24">
        <f t="shared" ref="I11:I26" si="1">G11+H11</f>
        <v>38241300</v>
      </c>
      <c r="J11" s="24"/>
      <c r="K11" s="11"/>
      <c r="L11" s="11"/>
      <c r="M11" s="11"/>
      <c r="N11" s="11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24">
        <f t="shared" si="0"/>
        <v>45435777</v>
      </c>
      <c r="Z11" s="37"/>
      <c r="AA11" s="37"/>
      <c r="AB11" s="37"/>
      <c r="AC11" s="37"/>
      <c r="AD11" s="37"/>
      <c r="AE11" s="37"/>
      <c r="AF11" s="37"/>
      <c r="AG11" s="37"/>
      <c r="AH11" s="37"/>
      <c r="AI11" s="37"/>
    </row>
    <row r="12" spans="1:35" s="7" customFormat="1" hidden="1">
      <c r="A12" s="23" t="s">
        <v>99</v>
      </c>
      <c r="B12" s="11"/>
      <c r="C12" s="11">
        <f>1709000+427800</f>
        <v>2136800</v>
      </c>
      <c r="D12" s="11"/>
      <c r="E12" s="11">
        <f>3413500+3413500+3413100</f>
        <v>10240100</v>
      </c>
      <c r="F12" s="11">
        <f>472000+472000+472000+468000</f>
        <v>1884000</v>
      </c>
      <c r="G12" s="18"/>
      <c r="H12" s="17"/>
      <c r="I12" s="11">
        <f t="shared" si="1"/>
        <v>0</v>
      </c>
      <c r="J12" s="11"/>
      <c r="K12" s="8"/>
      <c r="L12" s="8"/>
      <c r="M12" s="8"/>
      <c r="N12" s="8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8">
        <f t="shared" si="0"/>
        <v>14260900</v>
      </c>
      <c r="Z12" s="37"/>
      <c r="AA12" s="37"/>
      <c r="AB12" s="37"/>
      <c r="AC12" s="37"/>
      <c r="AD12" s="37"/>
      <c r="AE12" s="37"/>
      <c r="AF12" s="37"/>
      <c r="AG12" s="37"/>
      <c r="AH12" s="37"/>
      <c r="AI12" s="37"/>
    </row>
    <row r="13" spans="1:35">
      <c r="A13" s="22" t="s">
        <v>98</v>
      </c>
      <c r="B13" s="11"/>
      <c r="C13" s="11"/>
      <c r="D13" s="11"/>
      <c r="E13" s="11"/>
      <c r="F13" s="11"/>
      <c r="G13" s="18"/>
      <c r="H13" s="17">
        <v>414000</v>
      </c>
      <c r="I13" s="11">
        <f t="shared" si="1"/>
        <v>414000</v>
      </c>
      <c r="J13" s="11">
        <v>3976677</v>
      </c>
      <c r="K13" s="8">
        <v>1346800</v>
      </c>
      <c r="L13" s="20"/>
      <c r="M13" s="20"/>
      <c r="N13" s="20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8">
        <f>SUM(B13:F13,I13:L13)</f>
        <v>5737477</v>
      </c>
      <c r="Z13" s="36"/>
      <c r="AA13" s="35"/>
      <c r="AB13" s="35"/>
      <c r="AC13" s="35"/>
      <c r="AD13" s="35"/>
      <c r="AE13" s="35"/>
      <c r="AF13" s="35"/>
      <c r="AG13" s="35"/>
      <c r="AH13" s="35"/>
      <c r="AI13" s="35"/>
    </row>
    <row r="14" spans="1:35">
      <c r="A14" s="22" t="s">
        <v>97</v>
      </c>
      <c r="B14" s="18"/>
      <c r="C14" s="18"/>
      <c r="D14" s="18"/>
      <c r="E14" s="11"/>
      <c r="F14" s="11"/>
      <c r="G14" s="18"/>
      <c r="H14" s="17">
        <v>1656000</v>
      </c>
      <c r="I14" s="11">
        <f t="shared" si="1"/>
        <v>1656000</v>
      </c>
      <c r="J14" s="11">
        <v>3980000</v>
      </c>
      <c r="K14" s="8">
        <v>1346800</v>
      </c>
      <c r="L14" s="11">
        <v>712000</v>
      </c>
      <c r="M14" s="21"/>
      <c r="N14" s="20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11">
        <f>SUM(B14:F14,I14:L14)</f>
        <v>7694800</v>
      </c>
      <c r="Z14" s="38"/>
      <c r="AA14" s="35"/>
      <c r="AB14" s="35" t="s">
        <v>96</v>
      </c>
      <c r="AC14" s="35" t="s">
        <v>95</v>
      </c>
      <c r="AD14" s="35" t="s">
        <v>95</v>
      </c>
      <c r="AE14" s="35"/>
      <c r="AF14" s="35"/>
      <c r="AG14" s="35"/>
      <c r="AH14" s="35"/>
      <c r="AI14" s="35"/>
    </row>
    <row r="15" spans="1:35" ht="13.5" customHeight="1">
      <c r="A15" s="19" t="s">
        <v>94</v>
      </c>
      <c r="B15" s="18"/>
      <c r="C15" s="18"/>
      <c r="D15" s="18"/>
      <c r="E15" s="11"/>
      <c r="F15" s="11"/>
      <c r="G15" s="18"/>
      <c r="H15" s="17">
        <v>1656000</v>
      </c>
      <c r="I15" s="11">
        <f t="shared" si="1"/>
        <v>1656000</v>
      </c>
      <c r="J15" s="11">
        <v>3980000</v>
      </c>
      <c r="K15" s="8">
        <v>1346800</v>
      </c>
      <c r="L15" s="11">
        <v>712000</v>
      </c>
      <c r="M15" s="11">
        <v>1666662</v>
      </c>
      <c r="N15" s="11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11">
        <f>SUM(I15:N15)</f>
        <v>9361462</v>
      </c>
      <c r="Z15" s="38"/>
      <c r="AA15" s="35"/>
      <c r="AB15" s="35"/>
      <c r="AC15" s="35"/>
      <c r="AD15" s="35"/>
      <c r="AE15" s="35"/>
      <c r="AF15" s="35"/>
      <c r="AG15" s="35"/>
      <c r="AH15" s="35"/>
      <c r="AI15" s="35"/>
    </row>
    <row r="16" spans="1:35" s="57" customFormat="1">
      <c r="A16" s="68" t="s">
        <v>93</v>
      </c>
      <c r="B16" s="69"/>
      <c r="C16" s="69"/>
      <c r="D16" s="69"/>
      <c r="E16" s="70"/>
      <c r="F16" s="70"/>
      <c r="G16" s="69"/>
      <c r="H16" s="71">
        <v>1656000</v>
      </c>
      <c r="I16" s="72">
        <f t="shared" si="1"/>
        <v>1656000</v>
      </c>
      <c r="J16" s="72">
        <v>3980000</v>
      </c>
      <c r="K16" s="70">
        <v>1346800</v>
      </c>
      <c r="L16" s="72">
        <v>712000</v>
      </c>
      <c r="M16" s="72">
        <v>1666667</v>
      </c>
      <c r="N16" s="72">
        <v>2593333</v>
      </c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>
        <f>SUM(I16:N16)</f>
        <v>11954800</v>
      </c>
      <c r="Z16" s="73"/>
      <c r="AA16" s="74"/>
      <c r="AB16" s="74"/>
      <c r="AC16" s="74"/>
      <c r="AD16" s="74"/>
      <c r="AE16" s="74"/>
      <c r="AF16" s="74"/>
      <c r="AG16" s="74"/>
      <c r="AH16" s="74"/>
      <c r="AI16" s="74"/>
    </row>
    <row r="17" spans="1:35" s="52" customFormat="1">
      <c r="A17" s="47" t="s">
        <v>92</v>
      </c>
      <c r="B17" s="48"/>
      <c r="C17" s="48"/>
      <c r="D17" s="48"/>
      <c r="E17" s="43"/>
      <c r="F17" s="43"/>
      <c r="G17" s="48"/>
      <c r="H17" s="49">
        <v>1656000</v>
      </c>
      <c r="I17" s="42">
        <f t="shared" si="1"/>
        <v>1656000</v>
      </c>
      <c r="J17" s="42">
        <v>3980000</v>
      </c>
      <c r="K17" s="43">
        <v>1346800</v>
      </c>
      <c r="L17" s="42">
        <v>712000</v>
      </c>
      <c r="M17" s="42">
        <v>1666667</v>
      </c>
      <c r="N17" s="42">
        <v>2593333</v>
      </c>
      <c r="O17" s="42">
        <f>$Z$31</f>
        <v>2000000</v>
      </c>
      <c r="P17" s="42"/>
      <c r="Q17" s="42"/>
      <c r="R17" s="42"/>
      <c r="S17" s="42"/>
      <c r="T17" s="42"/>
      <c r="U17" s="42"/>
      <c r="V17" s="42"/>
      <c r="W17" s="42"/>
      <c r="X17" s="42"/>
      <c r="Y17" s="42">
        <f>SUM(I17:Q17)</f>
        <v>13954800</v>
      </c>
      <c r="Z17" s="50"/>
      <c r="AA17" s="51"/>
      <c r="AB17" s="51"/>
      <c r="AC17" s="51"/>
      <c r="AD17" s="51"/>
      <c r="AE17" s="51"/>
      <c r="AF17" s="51"/>
      <c r="AG17" s="51"/>
      <c r="AH17" s="51"/>
      <c r="AI17" s="51"/>
    </row>
    <row r="18" spans="1:35" s="52" customFormat="1">
      <c r="A18" s="47" t="s">
        <v>91</v>
      </c>
      <c r="B18" s="48"/>
      <c r="C18" s="48"/>
      <c r="D18" s="48"/>
      <c r="E18" s="43"/>
      <c r="F18" s="43"/>
      <c r="G18" s="48"/>
      <c r="H18" s="49">
        <v>1656000</v>
      </c>
      <c r="I18" s="42">
        <f t="shared" si="1"/>
        <v>1656000</v>
      </c>
      <c r="J18" s="42">
        <v>3980000</v>
      </c>
      <c r="K18" s="43">
        <v>1346800</v>
      </c>
      <c r="L18" s="42">
        <v>712000</v>
      </c>
      <c r="M18" s="42">
        <v>1666667</v>
      </c>
      <c r="N18" s="42">
        <v>2593333</v>
      </c>
      <c r="O18" s="42">
        <f t="shared" ref="O18:O30" si="2">$Z$31</f>
        <v>2000000</v>
      </c>
      <c r="P18" s="42">
        <f>$AA$31</f>
        <v>6566200</v>
      </c>
      <c r="Q18" s="42"/>
      <c r="R18" s="42"/>
      <c r="S18" s="42"/>
      <c r="T18" s="42"/>
      <c r="U18" s="42"/>
      <c r="V18" s="42"/>
      <c r="W18" s="42"/>
      <c r="X18" s="42"/>
      <c r="Y18" s="42">
        <f>SUM(I18:Q18)</f>
        <v>20521000</v>
      </c>
      <c r="Z18" s="50"/>
      <c r="AA18" s="51"/>
      <c r="AB18" s="51"/>
      <c r="AC18" s="51"/>
      <c r="AD18" s="51"/>
      <c r="AE18" s="51"/>
      <c r="AF18" s="51"/>
      <c r="AG18" s="51"/>
      <c r="AH18" s="51"/>
      <c r="AI18" s="51"/>
    </row>
    <row r="19" spans="1:35" s="52" customFormat="1">
      <c r="A19" s="47" t="s">
        <v>90</v>
      </c>
      <c r="B19" s="48"/>
      <c r="C19" s="48"/>
      <c r="D19" s="48"/>
      <c r="E19" s="43"/>
      <c r="F19" s="43"/>
      <c r="G19" s="48"/>
      <c r="H19" s="49">
        <v>1656000</v>
      </c>
      <c r="I19" s="42">
        <f t="shared" si="1"/>
        <v>1656000</v>
      </c>
      <c r="J19" s="42">
        <v>3980000</v>
      </c>
      <c r="K19" s="43">
        <v>1346800</v>
      </c>
      <c r="L19" s="42">
        <v>712000</v>
      </c>
      <c r="M19" s="42">
        <v>1666667</v>
      </c>
      <c r="N19" s="42">
        <v>2593333</v>
      </c>
      <c r="O19" s="42">
        <f t="shared" si="2"/>
        <v>2000000</v>
      </c>
      <c r="P19" s="42">
        <f t="shared" ref="P19:P31" si="3">$AA$31</f>
        <v>6566200</v>
      </c>
      <c r="Q19" s="42">
        <f>$AB$31</f>
        <v>7433333</v>
      </c>
      <c r="R19" s="42"/>
      <c r="S19" s="42"/>
      <c r="T19" s="42"/>
      <c r="U19" s="42"/>
      <c r="V19" s="42"/>
      <c r="W19" s="42"/>
      <c r="X19" s="42"/>
      <c r="Y19" s="42">
        <f>SUM(I19:R19)</f>
        <v>27954333</v>
      </c>
      <c r="Z19" s="50"/>
      <c r="AA19" s="51"/>
      <c r="AB19" s="51"/>
      <c r="AC19" s="51"/>
      <c r="AD19" s="51"/>
      <c r="AE19" s="51"/>
      <c r="AF19" s="51"/>
      <c r="AG19" s="51"/>
      <c r="AH19" s="51"/>
      <c r="AI19" s="51"/>
    </row>
    <row r="20" spans="1:35" s="52" customFormat="1">
      <c r="A20" s="47" t="s">
        <v>89</v>
      </c>
      <c r="B20" s="48"/>
      <c r="C20" s="48"/>
      <c r="D20" s="48"/>
      <c r="E20" s="43"/>
      <c r="F20" s="43"/>
      <c r="G20" s="48"/>
      <c r="H20" s="49">
        <v>1656000</v>
      </c>
      <c r="I20" s="42">
        <f t="shared" si="1"/>
        <v>1656000</v>
      </c>
      <c r="J20" s="42">
        <v>3980000</v>
      </c>
      <c r="K20" s="43">
        <v>1346800</v>
      </c>
      <c r="L20" s="42">
        <v>712000</v>
      </c>
      <c r="M20" s="42">
        <v>1666667</v>
      </c>
      <c r="N20" s="42">
        <v>2593333</v>
      </c>
      <c r="O20" s="42">
        <f t="shared" si="2"/>
        <v>2000000</v>
      </c>
      <c r="P20" s="42">
        <f t="shared" si="3"/>
        <v>6566200</v>
      </c>
      <c r="Q20" s="42">
        <f t="shared" ref="Q20:Q32" si="4">$AB$31</f>
        <v>7433333</v>
      </c>
      <c r="R20" s="46">
        <f>$AC$31</f>
        <v>0</v>
      </c>
      <c r="S20" s="42"/>
      <c r="T20" s="42"/>
      <c r="U20" s="42"/>
      <c r="V20" s="42"/>
      <c r="W20" s="42"/>
      <c r="X20" s="42"/>
      <c r="Y20" s="42">
        <f>SUM(I20:S20)</f>
        <v>27954333</v>
      </c>
      <c r="Z20" s="50"/>
      <c r="AA20" s="51"/>
      <c r="AB20" s="51"/>
      <c r="AC20" s="51"/>
      <c r="AD20" s="51"/>
      <c r="AE20" s="51"/>
      <c r="AF20" s="51"/>
      <c r="AG20" s="51"/>
      <c r="AH20" s="51"/>
      <c r="AI20" s="51"/>
    </row>
    <row r="21" spans="1:35">
      <c r="A21" s="15" t="s">
        <v>88</v>
      </c>
      <c r="B21" s="14"/>
      <c r="C21" s="14"/>
      <c r="D21" s="14"/>
      <c r="E21" s="9"/>
      <c r="F21" s="9"/>
      <c r="G21" s="14"/>
      <c r="H21" s="16">
        <v>1656000</v>
      </c>
      <c r="I21" s="13">
        <f t="shared" si="1"/>
        <v>1656000</v>
      </c>
      <c r="J21" s="13">
        <v>3980000</v>
      </c>
      <c r="K21" s="8">
        <v>1346800</v>
      </c>
      <c r="L21" s="11">
        <v>712000</v>
      </c>
      <c r="M21" s="11">
        <v>1666667</v>
      </c>
      <c r="N21" s="42">
        <v>2593333</v>
      </c>
      <c r="O21" s="42">
        <f t="shared" si="2"/>
        <v>2000000</v>
      </c>
      <c r="P21" s="42">
        <f t="shared" si="3"/>
        <v>6566200</v>
      </c>
      <c r="Q21" s="42">
        <f t="shared" si="4"/>
        <v>7433333</v>
      </c>
      <c r="R21" s="42">
        <f t="shared" ref="R21:R33" si="5">$AC$31</f>
        <v>0</v>
      </c>
      <c r="S21" s="42">
        <f>$AD$31</f>
        <v>0</v>
      </c>
      <c r="T21" s="42"/>
      <c r="U21" s="42"/>
      <c r="V21" s="42"/>
      <c r="W21" s="42"/>
      <c r="X21" s="42"/>
      <c r="Y21" s="11">
        <f>SUM(I21:S21)</f>
        <v>27954333</v>
      </c>
      <c r="Z21" s="38"/>
      <c r="AA21" s="35"/>
      <c r="AB21" s="35"/>
      <c r="AC21" s="35"/>
      <c r="AD21" s="35"/>
      <c r="AE21" s="35"/>
      <c r="AF21" s="35"/>
      <c r="AG21" s="35"/>
      <c r="AH21" s="35"/>
      <c r="AI21" s="35"/>
    </row>
    <row r="22" spans="1:35">
      <c r="A22" s="15" t="s">
        <v>87</v>
      </c>
      <c r="B22" s="14"/>
      <c r="C22" s="14"/>
      <c r="D22" s="14"/>
      <c r="E22" s="9"/>
      <c r="F22" s="9"/>
      <c r="G22" s="14"/>
      <c r="H22" s="16">
        <v>1656000</v>
      </c>
      <c r="I22" s="13">
        <f t="shared" si="1"/>
        <v>1656000</v>
      </c>
      <c r="J22" s="13">
        <v>3980000</v>
      </c>
      <c r="K22" s="8">
        <v>1346800</v>
      </c>
      <c r="L22" s="11">
        <v>712000</v>
      </c>
      <c r="M22" s="11">
        <v>1666667</v>
      </c>
      <c r="N22" s="42">
        <v>2593333</v>
      </c>
      <c r="O22" s="42">
        <f t="shared" si="2"/>
        <v>2000000</v>
      </c>
      <c r="P22" s="42">
        <f t="shared" si="3"/>
        <v>6566200</v>
      </c>
      <c r="Q22" s="42">
        <f t="shared" si="4"/>
        <v>7433333</v>
      </c>
      <c r="R22" s="42">
        <f t="shared" si="5"/>
        <v>0</v>
      </c>
      <c r="S22" s="42">
        <f t="shared" ref="S22:S34" si="6">$AD$31</f>
        <v>0</v>
      </c>
      <c r="T22" s="42">
        <f t="shared" ref="T22:T35" si="7">$AE$31</f>
        <v>0</v>
      </c>
      <c r="U22" s="42"/>
      <c r="V22" s="42"/>
      <c r="W22" s="42"/>
      <c r="X22" s="42"/>
      <c r="Y22" s="11">
        <f>SUM(I22:T22)</f>
        <v>27954333</v>
      </c>
      <c r="Z22" s="38"/>
      <c r="AA22" s="35"/>
      <c r="AB22" s="35"/>
      <c r="AC22" s="35"/>
      <c r="AD22" s="35"/>
      <c r="AE22" s="35"/>
      <c r="AF22" s="35"/>
      <c r="AG22" s="35"/>
      <c r="AH22" s="35"/>
      <c r="AI22" s="35"/>
    </row>
    <row r="23" spans="1:35">
      <c r="A23" s="15" t="s">
        <v>86</v>
      </c>
      <c r="B23" s="14"/>
      <c r="C23" s="14"/>
      <c r="D23" s="14"/>
      <c r="E23" s="9"/>
      <c r="F23" s="9"/>
      <c r="G23" s="14"/>
      <c r="H23" s="16">
        <v>1656000</v>
      </c>
      <c r="I23" s="13">
        <f t="shared" si="1"/>
        <v>1656000</v>
      </c>
      <c r="J23" s="13">
        <v>3980000</v>
      </c>
      <c r="K23" s="8">
        <v>1346800</v>
      </c>
      <c r="L23" s="11">
        <v>712000</v>
      </c>
      <c r="M23" s="11">
        <v>1666667</v>
      </c>
      <c r="N23" s="42">
        <v>2593333</v>
      </c>
      <c r="O23" s="42">
        <f t="shared" si="2"/>
        <v>2000000</v>
      </c>
      <c r="P23" s="42">
        <f t="shared" si="3"/>
        <v>6566200</v>
      </c>
      <c r="Q23" s="42">
        <f t="shared" si="4"/>
        <v>7433333</v>
      </c>
      <c r="R23" s="42">
        <f t="shared" si="5"/>
        <v>0</v>
      </c>
      <c r="S23" s="42">
        <f t="shared" si="6"/>
        <v>0</v>
      </c>
      <c r="T23" s="42">
        <f t="shared" si="7"/>
        <v>0</v>
      </c>
      <c r="U23" s="42">
        <f t="shared" ref="U23:U36" si="8">$AF$31</f>
        <v>0</v>
      </c>
      <c r="V23" s="42"/>
      <c r="W23" s="42"/>
      <c r="X23" s="42"/>
      <c r="Y23" s="11">
        <f>SUM(I23:U23)</f>
        <v>27954333</v>
      </c>
      <c r="Z23" s="38"/>
      <c r="AA23" s="35"/>
      <c r="AB23" s="35"/>
      <c r="AC23" s="35"/>
      <c r="AD23" s="35"/>
      <c r="AE23" s="35"/>
      <c r="AF23" s="35"/>
      <c r="AG23" s="35"/>
      <c r="AH23" s="35"/>
      <c r="AI23" s="35"/>
    </row>
    <row r="24" spans="1:35">
      <c r="A24" s="15" t="s">
        <v>85</v>
      </c>
      <c r="B24" s="14"/>
      <c r="C24" s="14"/>
      <c r="D24" s="14"/>
      <c r="E24" s="9"/>
      <c r="F24" s="9"/>
      <c r="G24" s="14"/>
      <c r="H24" s="16">
        <v>1656000</v>
      </c>
      <c r="I24" s="13">
        <f t="shared" si="1"/>
        <v>1656000</v>
      </c>
      <c r="J24" s="13">
        <v>3980000</v>
      </c>
      <c r="K24" s="8">
        <v>1346800</v>
      </c>
      <c r="L24" s="11">
        <v>712000</v>
      </c>
      <c r="M24" s="11">
        <v>1666667</v>
      </c>
      <c r="N24" s="42">
        <v>2593333</v>
      </c>
      <c r="O24" s="42">
        <f t="shared" si="2"/>
        <v>2000000</v>
      </c>
      <c r="P24" s="42">
        <f t="shared" si="3"/>
        <v>6566200</v>
      </c>
      <c r="Q24" s="42">
        <f t="shared" si="4"/>
        <v>7433333</v>
      </c>
      <c r="R24" s="42">
        <f t="shared" si="5"/>
        <v>0</v>
      </c>
      <c r="S24" s="42">
        <f t="shared" si="6"/>
        <v>0</v>
      </c>
      <c r="T24" s="42">
        <f t="shared" si="7"/>
        <v>0</v>
      </c>
      <c r="U24" s="42">
        <f t="shared" si="8"/>
        <v>0</v>
      </c>
      <c r="V24" s="42">
        <f t="shared" ref="V24:V37" si="9">$AG$31</f>
        <v>0</v>
      </c>
      <c r="W24" s="42"/>
      <c r="X24" s="42"/>
      <c r="Y24" s="11">
        <f>SUM(I24:V24)</f>
        <v>27954333</v>
      </c>
      <c r="Z24" s="38"/>
      <c r="AA24" s="35"/>
      <c r="AB24" s="35"/>
      <c r="AC24" s="35"/>
      <c r="AD24" s="35"/>
      <c r="AE24" s="35"/>
      <c r="AF24" s="35"/>
      <c r="AG24" s="35"/>
      <c r="AH24" s="35"/>
      <c r="AI24" s="35"/>
    </row>
    <row r="25" spans="1:35">
      <c r="A25" s="15" t="s">
        <v>84</v>
      </c>
      <c r="B25" s="14"/>
      <c r="C25" s="14"/>
      <c r="D25" s="14"/>
      <c r="E25" s="9"/>
      <c r="F25" s="9"/>
      <c r="G25" s="14"/>
      <c r="H25" s="16">
        <v>1656000</v>
      </c>
      <c r="I25" s="13">
        <f t="shared" si="1"/>
        <v>1656000</v>
      </c>
      <c r="J25" s="13">
        <v>3980000</v>
      </c>
      <c r="K25" s="8">
        <v>1346800</v>
      </c>
      <c r="L25" s="11">
        <v>712000</v>
      </c>
      <c r="M25" s="11">
        <v>1666667</v>
      </c>
      <c r="N25" s="42">
        <v>2593333</v>
      </c>
      <c r="O25" s="42">
        <f t="shared" si="2"/>
        <v>2000000</v>
      </c>
      <c r="P25" s="42">
        <f t="shared" si="3"/>
        <v>6566200</v>
      </c>
      <c r="Q25" s="42">
        <f t="shared" si="4"/>
        <v>7433333</v>
      </c>
      <c r="R25" s="42">
        <f t="shared" si="5"/>
        <v>0</v>
      </c>
      <c r="S25" s="42">
        <f t="shared" si="6"/>
        <v>0</v>
      </c>
      <c r="T25" s="42">
        <f t="shared" si="7"/>
        <v>0</v>
      </c>
      <c r="U25" s="42">
        <f t="shared" si="8"/>
        <v>0</v>
      </c>
      <c r="V25" s="42">
        <f t="shared" si="9"/>
        <v>0</v>
      </c>
      <c r="W25" s="42">
        <f>$AH$31</f>
        <v>0</v>
      </c>
      <c r="X25" s="42"/>
      <c r="Y25" s="11">
        <f>SUM(I25:W25)</f>
        <v>27954333</v>
      </c>
      <c r="Z25" s="38"/>
      <c r="AA25" s="35"/>
      <c r="AB25" s="35"/>
      <c r="AC25" s="35"/>
      <c r="AD25" s="35"/>
      <c r="AE25" s="35"/>
      <c r="AF25" s="35"/>
      <c r="AG25" s="35"/>
      <c r="AH25" s="35"/>
      <c r="AI25" s="35"/>
    </row>
    <row r="26" spans="1:35">
      <c r="A26" s="15" t="s">
        <v>83</v>
      </c>
      <c r="B26" s="14"/>
      <c r="C26" s="14"/>
      <c r="D26" s="14"/>
      <c r="E26" s="9"/>
      <c r="F26" s="9"/>
      <c r="G26" s="14"/>
      <c r="H26" s="14">
        <f>414000+417323</f>
        <v>831323</v>
      </c>
      <c r="I26" s="13">
        <f t="shared" si="1"/>
        <v>831323</v>
      </c>
      <c r="J26" s="13">
        <v>3980000</v>
      </c>
      <c r="K26" s="8">
        <v>1346800</v>
      </c>
      <c r="L26" s="11">
        <v>712000</v>
      </c>
      <c r="M26" s="11">
        <v>1666667</v>
      </c>
      <c r="N26" s="42">
        <v>2593333</v>
      </c>
      <c r="O26" s="42">
        <f t="shared" si="2"/>
        <v>2000000</v>
      </c>
      <c r="P26" s="42">
        <f t="shared" si="3"/>
        <v>6566200</v>
      </c>
      <c r="Q26" s="42">
        <f t="shared" si="4"/>
        <v>7433333</v>
      </c>
      <c r="R26" s="42">
        <f t="shared" si="5"/>
        <v>0</v>
      </c>
      <c r="S26" s="42">
        <f t="shared" si="6"/>
        <v>0</v>
      </c>
      <c r="T26" s="42">
        <f t="shared" si="7"/>
        <v>0</v>
      </c>
      <c r="U26" s="42">
        <f t="shared" si="8"/>
        <v>0</v>
      </c>
      <c r="V26" s="42">
        <f t="shared" si="9"/>
        <v>0</v>
      </c>
      <c r="W26" s="42">
        <f t="shared" ref="W26:W38" si="10">$AH$31</f>
        <v>0</v>
      </c>
      <c r="X26" s="42">
        <f>$AI$31</f>
        <v>0</v>
      </c>
      <c r="Y26" s="11">
        <f>SUM(I26:X26)</f>
        <v>27129656</v>
      </c>
      <c r="Z26" s="38"/>
      <c r="AA26" s="35"/>
      <c r="AB26" s="35"/>
      <c r="AC26" s="35"/>
      <c r="AD26" s="35"/>
      <c r="AE26" s="35"/>
      <c r="AF26" s="35"/>
      <c r="AG26" s="35"/>
      <c r="AH26" s="35"/>
      <c r="AI26" s="35"/>
    </row>
    <row r="27" spans="1:35">
      <c r="A27" s="15" t="s">
        <v>82</v>
      </c>
      <c r="B27" s="14"/>
      <c r="C27" s="14"/>
      <c r="D27" s="14"/>
      <c r="E27" s="9"/>
      <c r="F27" s="9"/>
      <c r="G27" s="14"/>
      <c r="H27" s="14"/>
      <c r="I27" s="13"/>
      <c r="J27" s="13">
        <v>3980000</v>
      </c>
      <c r="K27" s="8">
        <v>1346800</v>
      </c>
      <c r="L27" s="11">
        <v>712000</v>
      </c>
      <c r="M27" s="11">
        <v>1666667</v>
      </c>
      <c r="N27" s="42">
        <v>2593333</v>
      </c>
      <c r="O27" s="42">
        <f t="shared" si="2"/>
        <v>2000000</v>
      </c>
      <c r="P27" s="42">
        <f t="shared" si="3"/>
        <v>6566200</v>
      </c>
      <c r="Q27" s="42">
        <f t="shared" si="4"/>
        <v>7433333</v>
      </c>
      <c r="R27" s="42">
        <f t="shared" si="5"/>
        <v>0</v>
      </c>
      <c r="S27" s="42">
        <f t="shared" si="6"/>
        <v>0</v>
      </c>
      <c r="T27" s="42">
        <f t="shared" si="7"/>
        <v>0</v>
      </c>
      <c r="U27" s="42">
        <f t="shared" si="8"/>
        <v>0</v>
      </c>
      <c r="V27" s="42">
        <f t="shared" si="9"/>
        <v>0</v>
      </c>
      <c r="W27" s="42">
        <f t="shared" si="10"/>
        <v>0</v>
      </c>
      <c r="X27" s="42">
        <f t="shared" ref="X27:X39" si="11">$AI$31</f>
        <v>0</v>
      </c>
      <c r="Y27" s="11">
        <f t="shared" ref="Y27:Y40" si="12">SUM(I27:X27)</f>
        <v>26298333</v>
      </c>
      <c r="Z27" s="38"/>
      <c r="AA27" s="35"/>
      <c r="AB27" s="35"/>
      <c r="AC27" s="35"/>
      <c r="AD27" s="35"/>
      <c r="AE27" s="35"/>
      <c r="AF27" s="35"/>
      <c r="AG27" s="35"/>
      <c r="AH27" s="35"/>
      <c r="AI27" s="35"/>
    </row>
    <row r="28" spans="1:35">
      <c r="A28" s="15" t="s">
        <v>81</v>
      </c>
      <c r="B28" s="14"/>
      <c r="C28" s="14"/>
      <c r="D28" s="14"/>
      <c r="E28" s="9"/>
      <c r="F28" s="9"/>
      <c r="G28" s="14"/>
      <c r="H28" s="14"/>
      <c r="I28" s="13"/>
      <c r="J28" s="13"/>
      <c r="K28" s="11"/>
      <c r="L28" s="11">
        <v>716000</v>
      </c>
      <c r="M28" s="11">
        <v>1666667</v>
      </c>
      <c r="N28" s="42">
        <v>2593333</v>
      </c>
      <c r="O28" s="42">
        <f t="shared" si="2"/>
        <v>2000000</v>
      </c>
      <c r="P28" s="42">
        <f t="shared" si="3"/>
        <v>6566200</v>
      </c>
      <c r="Q28" s="42">
        <f t="shared" si="4"/>
        <v>7433333</v>
      </c>
      <c r="R28" s="42">
        <f t="shared" si="5"/>
        <v>0</v>
      </c>
      <c r="S28" s="42">
        <f t="shared" si="6"/>
        <v>0</v>
      </c>
      <c r="T28" s="42">
        <f t="shared" si="7"/>
        <v>0</v>
      </c>
      <c r="U28" s="42">
        <f t="shared" si="8"/>
        <v>0</v>
      </c>
      <c r="V28" s="42">
        <f t="shared" si="9"/>
        <v>0</v>
      </c>
      <c r="W28" s="42">
        <f t="shared" si="10"/>
        <v>0</v>
      </c>
      <c r="X28" s="42">
        <f t="shared" si="11"/>
        <v>0</v>
      </c>
      <c r="Y28" s="11">
        <f t="shared" si="12"/>
        <v>20975533</v>
      </c>
      <c r="Z28" s="38"/>
      <c r="AA28" s="35"/>
      <c r="AB28" s="35"/>
      <c r="AC28" s="35"/>
      <c r="AD28" s="35"/>
      <c r="AE28" s="35"/>
      <c r="AF28" s="35"/>
      <c r="AG28" s="35"/>
      <c r="AH28" s="35"/>
      <c r="AI28" s="35"/>
    </row>
    <row r="29" spans="1:35">
      <c r="A29" s="15" t="s">
        <v>80</v>
      </c>
      <c r="B29" s="14"/>
      <c r="C29" s="14"/>
      <c r="D29" s="14"/>
      <c r="E29" s="9"/>
      <c r="F29" s="9"/>
      <c r="G29" s="14"/>
      <c r="H29" s="14"/>
      <c r="I29" s="13"/>
      <c r="J29" s="13"/>
      <c r="K29" s="11"/>
      <c r="L29" s="11"/>
      <c r="M29" s="11">
        <v>1666667</v>
      </c>
      <c r="N29" s="42">
        <v>2593333</v>
      </c>
      <c r="O29" s="42">
        <f t="shared" si="2"/>
        <v>2000000</v>
      </c>
      <c r="P29" s="42">
        <f t="shared" si="3"/>
        <v>6566200</v>
      </c>
      <c r="Q29" s="42">
        <f t="shared" si="4"/>
        <v>7433333</v>
      </c>
      <c r="R29" s="42">
        <f t="shared" si="5"/>
        <v>0</v>
      </c>
      <c r="S29" s="42">
        <f t="shared" si="6"/>
        <v>0</v>
      </c>
      <c r="T29" s="42">
        <f t="shared" si="7"/>
        <v>0</v>
      </c>
      <c r="U29" s="42">
        <f t="shared" si="8"/>
        <v>0</v>
      </c>
      <c r="V29" s="42">
        <f t="shared" si="9"/>
        <v>0</v>
      </c>
      <c r="W29" s="42">
        <f t="shared" si="10"/>
        <v>0</v>
      </c>
      <c r="X29" s="42">
        <f t="shared" si="11"/>
        <v>0</v>
      </c>
      <c r="Y29" s="11">
        <f t="shared" si="12"/>
        <v>20259533</v>
      </c>
      <c r="Z29" s="38"/>
      <c r="AA29" s="35"/>
      <c r="AB29" s="35"/>
      <c r="AC29" s="35"/>
      <c r="AD29" s="35"/>
      <c r="AE29" s="35"/>
      <c r="AF29" s="35"/>
      <c r="AG29" s="35"/>
      <c r="AH29" s="35"/>
      <c r="AI29" s="35"/>
    </row>
    <row r="30" spans="1:35">
      <c r="A30" s="15" t="s">
        <v>79</v>
      </c>
      <c r="B30" s="14"/>
      <c r="C30" s="14"/>
      <c r="D30" s="14"/>
      <c r="E30" s="9"/>
      <c r="F30" s="9"/>
      <c r="G30" s="14"/>
      <c r="H30" s="14"/>
      <c r="I30" s="13"/>
      <c r="J30" s="13"/>
      <c r="K30" s="11"/>
      <c r="L30" s="11"/>
      <c r="M30" s="11"/>
      <c r="N30" s="42">
        <v>2593338</v>
      </c>
      <c r="O30" s="42">
        <f t="shared" si="2"/>
        <v>2000000</v>
      </c>
      <c r="P30" s="42">
        <f t="shared" si="3"/>
        <v>6566200</v>
      </c>
      <c r="Q30" s="42">
        <f t="shared" si="4"/>
        <v>7433333</v>
      </c>
      <c r="R30" s="42">
        <f t="shared" si="5"/>
        <v>0</v>
      </c>
      <c r="S30" s="42">
        <f t="shared" si="6"/>
        <v>0</v>
      </c>
      <c r="T30" s="42">
        <f t="shared" si="7"/>
        <v>0</v>
      </c>
      <c r="U30" s="42">
        <f t="shared" si="8"/>
        <v>0</v>
      </c>
      <c r="V30" s="42">
        <f t="shared" si="9"/>
        <v>0</v>
      </c>
      <c r="W30" s="42">
        <f t="shared" si="10"/>
        <v>0</v>
      </c>
      <c r="X30" s="42">
        <f t="shared" si="11"/>
        <v>0</v>
      </c>
      <c r="Y30" s="11">
        <f t="shared" si="12"/>
        <v>18592871</v>
      </c>
      <c r="Z30" s="38"/>
      <c r="AA30" s="35"/>
      <c r="AB30" s="35"/>
      <c r="AC30" s="35"/>
      <c r="AD30" s="35"/>
      <c r="AE30" s="35"/>
      <c r="AF30" s="35"/>
      <c r="AG30" s="35"/>
      <c r="AH30" s="35"/>
      <c r="AI30" s="35"/>
    </row>
    <row r="31" spans="1:35">
      <c r="A31" s="15" t="s">
        <v>78</v>
      </c>
      <c r="B31" s="14"/>
      <c r="C31" s="14"/>
      <c r="D31" s="14"/>
      <c r="E31" s="9"/>
      <c r="F31" s="9"/>
      <c r="G31" s="14"/>
      <c r="H31" s="14"/>
      <c r="I31" s="13"/>
      <c r="J31" s="13"/>
      <c r="K31" s="11"/>
      <c r="L31" s="11"/>
      <c r="M31" s="11"/>
      <c r="N31" s="12"/>
      <c r="O31" s="42">
        <f>O3-SUM(O17:O30)</f>
        <v>2000000</v>
      </c>
      <c r="P31" s="42">
        <f t="shared" si="3"/>
        <v>6566200</v>
      </c>
      <c r="Q31" s="42">
        <f t="shared" si="4"/>
        <v>7433333</v>
      </c>
      <c r="R31" s="42">
        <f t="shared" si="5"/>
        <v>0</v>
      </c>
      <c r="S31" s="42">
        <f t="shared" si="6"/>
        <v>0</v>
      </c>
      <c r="T31" s="42">
        <f t="shared" si="7"/>
        <v>0</v>
      </c>
      <c r="U31" s="42">
        <f t="shared" si="8"/>
        <v>0</v>
      </c>
      <c r="V31" s="42">
        <f t="shared" si="9"/>
        <v>0</v>
      </c>
      <c r="W31" s="42">
        <f t="shared" si="10"/>
        <v>0</v>
      </c>
      <c r="X31" s="42">
        <f t="shared" si="11"/>
        <v>0</v>
      </c>
      <c r="Y31" s="11">
        <f t="shared" si="12"/>
        <v>15999533</v>
      </c>
      <c r="Z31" s="38">
        <f t="shared" ref="Z31:AI31" si="13">ROUND(O3/15,0)</f>
        <v>2000000</v>
      </c>
      <c r="AA31" s="38">
        <f t="shared" si="13"/>
        <v>6566200</v>
      </c>
      <c r="AB31" s="38">
        <f t="shared" si="13"/>
        <v>7433333</v>
      </c>
      <c r="AC31" s="38">
        <f t="shared" si="13"/>
        <v>0</v>
      </c>
      <c r="AD31" s="38">
        <f t="shared" si="13"/>
        <v>0</v>
      </c>
      <c r="AE31" s="38">
        <f t="shared" si="13"/>
        <v>0</v>
      </c>
      <c r="AF31" s="38">
        <f t="shared" si="13"/>
        <v>0</v>
      </c>
      <c r="AG31" s="38">
        <f t="shared" si="13"/>
        <v>0</v>
      </c>
      <c r="AH31" s="38">
        <f t="shared" si="13"/>
        <v>0</v>
      </c>
      <c r="AI31" s="38">
        <f t="shared" si="13"/>
        <v>0</v>
      </c>
    </row>
    <row r="32" spans="1:35">
      <c r="A32" s="15" t="s">
        <v>77</v>
      </c>
      <c r="B32" s="14"/>
      <c r="C32" s="14"/>
      <c r="D32" s="14"/>
      <c r="E32" s="9"/>
      <c r="F32" s="9"/>
      <c r="G32" s="14"/>
      <c r="H32" s="14"/>
      <c r="I32" s="13"/>
      <c r="J32" s="13"/>
      <c r="K32" s="11"/>
      <c r="L32" s="11"/>
      <c r="M32" s="11"/>
      <c r="N32" s="12"/>
      <c r="O32" s="42"/>
      <c r="P32" s="42">
        <f>P3-SUM(P18:P31)</f>
        <v>6566200</v>
      </c>
      <c r="Q32" s="42">
        <f t="shared" si="4"/>
        <v>7433333</v>
      </c>
      <c r="R32" s="42">
        <f t="shared" si="5"/>
        <v>0</v>
      </c>
      <c r="S32" s="42">
        <f t="shared" si="6"/>
        <v>0</v>
      </c>
      <c r="T32" s="42">
        <f t="shared" si="7"/>
        <v>0</v>
      </c>
      <c r="U32" s="42">
        <f t="shared" si="8"/>
        <v>0</v>
      </c>
      <c r="V32" s="42">
        <f t="shared" si="9"/>
        <v>0</v>
      </c>
      <c r="W32" s="42">
        <f t="shared" si="10"/>
        <v>0</v>
      </c>
      <c r="X32" s="42">
        <f t="shared" si="11"/>
        <v>0</v>
      </c>
      <c r="Y32" s="11">
        <f t="shared" si="12"/>
        <v>13999533</v>
      </c>
      <c r="Z32" s="38"/>
      <c r="AA32" s="35"/>
      <c r="AB32" s="35"/>
      <c r="AC32" s="35"/>
      <c r="AD32" s="35"/>
      <c r="AE32" s="35"/>
      <c r="AF32" s="35"/>
      <c r="AG32" s="35"/>
      <c r="AH32" s="35"/>
      <c r="AI32" s="35"/>
    </row>
    <row r="33" spans="1:35">
      <c r="A33" s="15" t="s">
        <v>76</v>
      </c>
      <c r="B33" s="14"/>
      <c r="C33" s="14"/>
      <c r="D33" s="14"/>
      <c r="E33" s="9"/>
      <c r="F33" s="9"/>
      <c r="G33" s="14"/>
      <c r="H33" s="14"/>
      <c r="I33" s="13"/>
      <c r="J33" s="13"/>
      <c r="K33" s="11"/>
      <c r="L33" s="11"/>
      <c r="M33" s="11"/>
      <c r="N33" s="12"/>
      <c r="O33" s="42"/>
      <c r="P33" s="42"/>
      <c r="Q33" s="42">
        <f>Q3-SUM(Q19:Q32)</f>
        <v>7433338</v>
      </c>
      <c r="R33" s="42">
        <f t="shared" si="5"/>
        <v>0</v>
      </c>
      <c r="S33" s="42">
        <f t="shared" si="6"/>
        <v>0</v>
      </c>
      <c r="T33" s="42">
        <f t="shared" si="7"/>
        <v>0</v>
      </c>
      <c r="U33" s="42">
        <f t="shared" si="8"/>
        <v>0</v>
      </c>
      <c r="V33" s="42">
        <f t="shared" si="9"/>
        <v>0</v>
      </c>
      <c r="W33" s="42">
        <f t="shared" si="10"/>
        <v>0</v>
      </c>
      <c r="X33" s="42">
        <f t="shared" si="11"/>
        <v>0</v>
      </c>
      <c r="Y33" s="11">
        <f t="shared" si="12"/>
        <v>7433338</v>
      </c>
      <c r="Z33" s="38"/>
      <c r="AA33" s="35"/>
      <c r="AB33" s="35"/>
      <c r="AC33" s="35"/>
      <c r="AD33" s="35"/>
      <c r="AE33" s="35"/>
      <c r="AF33" s="35"/>
      <c r="AG33" s="35"/>
      <c r="AH33" s="35"/>
      <c r="AI33" s="35"/>
    </row>
    <row r="34" spans="1:35">
      <c r="A34" s="15" t="s">
        <v>75</v>
      </c>
      <c r="B34" s="14"/>
      <c r="C34" s="14"/>
      <c r="D34" s="14"/>
      <c r="E34" s="9"/>
      <c r="F34" s="9"/>
      <c r="G34" s="14"/>
      <c r="H34" s="14"/>
      <c r="I34" s="13"/>
      <c r="J34" s="13"/>
      <c r="K34" s="11"/>
      <c r="L34" s="11"/>
      <c r="M34" s="11"/>
      <c r="N34" s="12"/>
      <c r="O34" s="42"/>
      <c r="P34" s="42"/>
      <c r="Q34" s="42"/>
      <c r="R34" s="42">
        <f>R3-SUM(R20:R33)</f>
        <v>0</v>
      </c>
      <c r="S34" s="42">
        <f t="shared" si="6"/>
        <v>0</v>
      </c>
      <c r="T34" s="42">
        <f t="shared" si="7"/>
        <v>0</v>
      </c>
      <c r="U34" s="42">
        <f t="shared" si="8"/>
        <v>0</v>
      </c>
      <c r="V34" s="42">
        <f t="shared" si="9"/>
        <v>0</v>
      </c>
      <c r="W34" s="42">
        <f t="shared" si="10"/>
        <v>0</v>
      </c>
      <c r="X34" s="42">
        <f t="shared" si="11"/>
        <v>0</v>
      </c>
      <c r="Y34" s="11">
        <f t="shared" si="12"/>
        <v>0</v>
      </c>
      <c r="Z34" s="38"/>
      <c r="AA34" s="35"/>
      <c r="AB34" s="35"/>
      <c r="AC34" s="35"/>
      <c r="AD34" s="35"/>
      <c r="AE34" s="35"/>
      <c r="AF34" s="35"/>
      <c r="AG34" s="35"/>
      <c r="AH34" s="35"/>
      <c r="AI34" s="35"/>
    </row>
    <row r="35" spans="1:35">
      <c r="A35" s="15" t="s">
        <v>119</v>
      </c>
      <c r="B35" s="14"/>
      <c r="C35" s="14"/>
      <c r="D35" s="14"/>
      <c r="E35" s="9"/>
      <c r="F35" s="9"/>
      <c r="G35" s="14"/>
      <c r="H35" s="14"/>
      <c r="I35" s="13"/>
      <c r="J35" s="13"/>
      <c r="K35" s="11"/>
      <c r="L35" s="11"/>
      <c r="M35" s="11"/>
      <c r="N35" s="12"/>
      <c r="O35" s="42"/>
      <c r="P35" s="42"/>
      <c r="Q35" s="42"/>
      <c r="R35" s="42"/>
      <c r="S35" s="42">
        <f>S3-SUM(S21:S34)</f>
        <v>0</v>
      </c>
      <c r="T35" s="42">
        <f t="shared" si="7"/>
        <v>0</v>
      </c>
      <c r="U35" s="42">
        <f t="shared" si="8"/>
        <v>0</v>
      </c>
      <c r="V35" s="42">
        <f t="shared" si="9"/>
        <v>0</v>
      </c>
      <c r="W35" s="42">
        <f t="shared" si="10"/>
        <v>0</v>
      </c>
      <c r="X35" s="42">
        <f t="shared" si="11"/>
        <v>0</v>
      </c>
      <c r="Y35" s="11">
        <f t="shared" si="12"/>
        <v>0</v>
      </c>
      <c r="Z35" s="38"/>
      <c r="AA35" s="35"/>
      <c r="AB35" s="35"/>
      <c r="AC35" s="35"/>
      <c r="AD35" s="35"/>
      <c r="AE35" s="35"/>
      <c r="AF35" s="35"/>
      <c r="AG35" s="35"/>
      <c r="AH35" s="35"/>
      <c r="AI35" s="35"/>
    </row>
    <row r="36" spans="1:35">
      <c r="A36" s="15" t="s">
        <v>189</v>
      </c>
      <c r="B36" s="14"/>
      <c r="C36" s="14"/>
      <c r="D36" s="14"/>
      <c r="E36" s="9"/>
      <c r="F36" s="9"/>
      <c r="G36" s="14"/>
      <c r="H36" s="14"/>
      <c r="I36" s="13"/>
      <c r="J36" s="13"/>
      <c r="K36" s="11"/>
      <c r="L36" s="11"/>
      <c r="M36" s="11"/>
      <c r="N36" s="12"/>
      <c r="O36" s="42"/>
      <c r="P36" s="42"/>
      <c r="Q36" s="42"/>
      <c r="R36" s="42"/>
      <c r="S36" s="42"/>
      <c r="T36" s="42">
        <f>T3-SUM(T22:T35)</f>
        <v>0</v>
      </c>
      <c r="U36" s="42">
        <f t="shared" si="8"/>
        <v>0</v>
      </c>
      <c r="V36" s="42">
        <f t="shared" si="9"/>
        <v>0</v>
      </c>
      <c r="W36" s="42">
        <f t="shared" si="10"/>
        <v>0</v>
      </c>
      <c r="X36" s="42">
        <f t="shared" si="11"/>
        <v>0</v>
      </c>
      <c r="Y36" s="11">
        <f t="shared" si="12"/>
        <v>0</v>
      </c>
      <c r="Z36" s="181"/>
      <c r="AA36" s="182"/>
      <c r="AB36" s="182"/>
      <c r="AC36" s="182"/>
      <c r="AD36" s="182"/>
    </row>
    <row r="37" spans="1:35">
      <c r="A37" s="15" t="s">
        <v>190</v>
      </c>
      <c r="B37" s="14"/>
      <c r="C37" s="14"/>
      <c r="D37" s="14"/>
      <c r="E37" s="9"/>
      <c r="F37" s="9"/>
      <c r="G37" s="14"/>
      <c r="H37" s="14"/>
      <c r="I37" s="13"/>
      <c r="J37" s="13"/>
      <c r="K37" s="11"/>
      <c r="L37" s="11"/>
      <c r="M37" s="11"/>
      <c r="N37" s="12"/>
      <c r="O37" s="42"/>
      <c r="P37" s="42"/>
      <c r="Q37" s="42"/>
      <c r="R37" s="42"/>
      <c r="S37" s="42"/>
      <c r="T37" s="42"/>
      <c r="U37" s="42">
        <f>U3-SUM(U23:U36)</f>
        <v>0</v>
      </c>
      <c r="V37" s="42">
        <f t="shared" si="9"/>
        <v>0</v>
      </c>
      <c r="W37" s="42">
        <f t="shared" si="10"/>
        <v>0</v>
      </c>
      <c r="X37" s="42">
        <f t="shared" si="11"/>
        <v>0</v>
      </c>
      <c r="Y37" s="11">
        <f t="shared" si="12"/>
        <v>0</v>
      </c>
      <c r="Z37" s="181"/>
      <c r="AA37" s="182"/>
      <c r="AB37" s="182"/>
      <c r="AC37" s="182"/>
      <c r="AD37" s="182"/>
    </row>
    <row r="38" spans="1:35">
      <c r="A38" s="15" t="s">
        <v>191</v>
      </c>
      <c r="B38" s="14"/>
      <c r="C38" s="14"/>
      <c r="D38" s="14"/>
      <c r="E38" s="9"/>
      <c r="F38" s="9"/>
      <c r="G38" s="14"/>
      <c r="H38" s="14"/>
      <c r="I38" s="13"/>
      <c r="J38" s="13"/>
      <c r="K38" s="11"/>
      <c r="L38" s="11"/>
      <c r="M38" s="11"/>
      <c r="N38" s="12"/>
      <c r="O38" s="42"/>
      <c r="P38" s="42"/>
      <c r="Q38" s="42"/>
      <c r="R38" s="42"/>
      <c r="S38" s="42"/>
      <c r="T38" s="42"/>
      <c r="U38" s="42"/>
      <c r="V38" s="42">
        <f>V3-SUM(V24:V37)</f>
        <v>0</v>
      </c>
      <c r="W38" s="42">
        <f t="shared" si="10"/>
        <v>0</v>
      </c>
      <c r="X38" s="42">
        <f t="shared" si="11"/>
        <v>0</v>
      </c>
      <c r="Y38" s="11">
        <f t="shared" si="12"/>
        <v>0</v>
      </c>
      <c r="Z38" s="181"/>
      <c r="AA38" s="182"/>
      <c r="AB38" s="182"/>
      <c r="AC38" s="182"/>
      <c r="AD38" s="182"/>
    </row>
    <row r="39" spans="1:35">
      <c r="A39" s="15" t="s">
        <v>192</v>
      </c>
      <c r="B39" s="14"/>
      <c r="C39" s="14"/>
      <c r="D39" s="14"/>
      <c r="E39" s="9"/>
      <c r="F39" s="9"/>
      <c r="G39" s="14"/>
      <c r="H39" s="14"/>
      <c r="I39" s="13"/>
      <c r="J39" s="13"/>
      <c r="K39" s="11"/>
      <c r="L39" s="11"/>
      <c r="M39" s="11"/>
      <c r="N39" s="12"/>
      <c r="O39" s="42"/>
      <c r="P39" s="42"/>
      <c r="Q39" s="42"/>
      <c r="R39" s="42"/>
      <c r="S39" s="42"/>
      <c r="T39" s="42"/>
      <c r="U39" s="42"/>
      <c r="V39" s="42"/>
      <c r="W39" s="42">
        <f>W3-SUM(W25:W38)</f>
        <v>0</v>
      </c>
      <c r="X39" s="42">
        <f t="shared" si="11"/>
        <v>0</v>
      </c>
      <c r="Y39" s="11">
        <f t="shared" si="12"/>
        <v>0</v>
      </c>
      <c r="Z39" s="181"/>
      <c r="AA39" s="182"/>
      <c r="AB39" s="182"/>
      <c r="AC39" s="182"/>
      <c r="AD39" s="182"/>
    </row>
    <row r="40" spans="1:35">
      <c r="A40" s="15" t="s">
        <v>194</v>
      </c>
      <c r="B40" s="14"/>
      <c r="C40" s="14"/>
      <c r="D40" s="14"/>
      <c r="E40" s="9"/>
      <c r="F40" s="9"/>
      <c r="G40" s="14"/>
      <c r="H40" s="14"/>
      <c r="I40" s="13"/>
      <c r="J40" s="13"/>
      <c r="K40" s="11"/>
      <c r="L40" s="11"/>
      <c r="M40" s="11"/>
      <c r="N40" s="12"/>
      <c r="O40" s="42"/>
      <c r="P40" s="42"/>
      <c r="Q40" s="42"/>
      <c r="R40" s="42"/>
      <c r="S40" s="42"/>
      <c r="T40" s="42"/>
      <c r="U40" s="42"/>
      <c r="V40" s="42"/>
      <c r="W40" s="42"/>
      <c r="X40" s="42">
        <f>X3-SUM(X26:X39)</f>
        <v>0</v>
      </c>
      <c r="Y40" s="11">
        <f t="shared" si="12"/>
        <v>0</v>
      </c>
      <c r="Z40" s="181"/>
      <c r="AA40" s="182"/>
      <c r="AB40" s="182"/>
      <c r="AC40" s="182"/>
      <c r="AD40" s="182"/>
    </row>
    <row r="41" spans="1:35">
      <c r="A41" s="15" t="s">
        <v>195</v>
      </c>
      <c r="B41" s="14"/>
      <c r="C41" s="14"/>
      <c r="D41" s="14"/>
      <c r="E41" s="9"/>
      <c r="F41" s="9"/>
      <c r="G41" s="14"/>
      <c r="H41" s="14"/>
      <c r="I41" s="13"/>
      <c r="J41" s="13"/>
      <c r="K41" s="11"/>
      <c r="L41" s="11"/>
      <c r="M41" s="11"/>
      <c r="N41" s="1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11">
        <f>SUM(I41:X41)</f>
        <v>0</v>
      </c>
      <c r="Z41" s="181"/>
      <c r="AA41" s="182"/>
      <c r="AB41" s="182"/>
      <c r="AC41" s="182"/>
      <c r="AD41" s="182"/>
    </row>
    <row r="42" spans="1:35">
      <c r="A42" s="10" t="s">
        <v>74</v>
      </c>
      <c r="B42" s="9">
        <f t="shared" ref="B42:K42" si="14">SUM(B6:B27)</f>
        <v>13000000</v>
      </c>
      <c r="C42" s="9">
        <f t="shared" si="14"/>
        <v>10265000</v>
      </c>
      <c r="D42" s="9">
        <f t="shared" si="14"/>
        <v>3991800</v>
      </c>
      <c r="E42" s="9">
        <f t="shared" si="14"/>
        <v>20480600</v>
      </c>
      <c r="F42" s="9">
        <f t="shared" si="14"/>
        <v>18730000</v>
      </c>
      <c r="G42" s="9">
        <f t="shared" si="14"/>
        <v>38241300</v>
      </c>
      <c r="H42" s="9">
        <f t="shared" si="14"/>
        <v>21117323</v>
      </c>
      <c r="I42" s="9">
        <f t="shared" si="14"/>
        <v>59358623</v>
      </c>
      <c r="J42" s="9">
        <f t="shared" si="14"/>
        <v>59696677</v>
      </c>
      <c r="K42" s="8">
        <f t="shared" si="14"/>
        <v>20202000</v>
      </c>
      <c r="L42" s="8">
        <f>SUM(L6:L28)</f>
        <v>10684000</v>
      </c>
      <c r="M42" s="8">
        <f>SUM(M6:M29)</f>
        <v>25000000</v>
      </c>
      <c r="N42" s="8">
        <f>SUM(N6:N30)</f>
        <v>38900000</v>
      </c>
      <c r="O42" s="8">
        <f>SUM(O6:O31)</f>
        <v>30000000</v>
      </c>
      <c r="P42" s="8">
        <f>SUM(P6:P32)</f>
        <v>98493000</v>
      </c>
      <c r="Q42" s="8">
        <f>SUM(Q6:Q33)</f>
        <v>111500000</v>
      </c>
      <c r="R42" s="8">
        <f>SUM(R6:R35)</f>
        <v>0</v>
      </c>
      <c r="S42" s="8">
        <f t="shared" ref="S42:X42" si="15">SUM(S6:S41)</f>
        <v>0</v>
      </c>
      <c r="T42" s="8">
        <f t="shared" si="15"/>
        <v>0</v>
      </c>
      <c r="U42" s="8">
        <f t="shared" si="15"/>
        <v>0</v>
      </c>
      <c r="V42" s="8">
        <f t="shared" si="15"/>
        <v>0</v>
      </c>
      <c r="W42" s="8">
        <f t="shared" si="15"/>
        <v>0</v>
      </c>
      <c r="X42" s="8">
        <f t="shared" si="15"/>
        <v>0</v>
      </c>
      <c r="Y42" s="8"/>
      <c r="Z42" s="7"/>
    </row>
    <row r="43" spans="1:35" s="57" customFormat="1">
      <c r="A43" s="55"/>
      <c r="B43" s="58">
        <f t="shared" ref="B43:K43" si="16">B3-B42</f>
        <v>0</v>
      </c>
      <c r="C43" s="58">
        <f t="shared" si="16"/>
        <v>0</v>
      </c>
      <c r="D43" s="58">
        <f t="shared" si="16"/>
        <v>0</v>
      </c>
      <c r="E43" s="58">
        <f t="shared" si="16"/>
        <v>0</v>
      </c>
      <c r="F43" s="58">
        <f t="shared" si="16"/>
        <v>0</v>
      </c>
      <c r="G43" s="58">
        <f t="shared" si="16"/>
        <v>0</v>
      </c>
      <c r="H43" s="58">
        <f t="shared" si="16"/>
        <v>0</v>
      </c>
      <c r="I43" s="58">
        <f t="shared" si="16"/>
        <v>0</v>
      </c>
      <c r="J43" s="58">
        <f t="shared" si="16"/>
        <v>-14260900</v>
      </c>
      <c r="K43" s="58">
        <f t="shared" si="16"/>
        <v>14260900</v>
      </c>
      <c r="L43" s="58">
        <f>SUM(L14:L28)</f>
        <v>10684000</v>
      </c>
      <c r="M43" s="58">
        <f>SUM(M14:M29)</f>
        <v>25000000</v>
      </c>
      <c r="N43" s="58">
        <f>SUM(N14:N30)</f>
        <v>38900000</v>
      </c>
      <c r="O43" s="58">
        <f t="shared" ref="O43:X43" si="17">SUM(O3-O42)</f>
        <v>0</v>
      </c>
      <c r="P43" s="58">
        <f t="shared" si="17"/>
        <v>0</v>
      </c>
      <c r="Q43" s="58">
        <f t="shared" si="17"/>
        <v>0</v>
      </c>
      <c r="R43" s="58">
        <f t="shared" si="17"/>
        <v>0</v>
      </c>
      <c r="S43" s="58">
        <f t="shared" si="17"/>
        <v>0</v>
      </c>
      <c r="T43" s="58">
        <f t="shared" si="17"/>
        <v>0</v>
      </c>
      <c r="U43" s="58">
        <f t="shared" si="17"/>
        <v>0</v>
      </c>
      <c r="V43" s="58">
        <f t="shared" si="17"/>
        <v>0</v>
      </c>
      <c r="W43" s="58">
        <f t="shared" si="17"/>
        <v>0</v>
      </c>
      <c r="X43" s="58">
        <f t="shared" si="17"/>
        <v>0</v>
      </c>
      <c r="Y43" s="58">
        <f>SUM(Y16:Y41)</f>
        <v>392799261</v>
      </c>
      <c r="AC43" s="57" t="s">
        <v>73</v>
      </c>
    </row>
    <row r="44" spans="1:35" s="57" customFormat="1">
      <c r="A44" s="55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</row>
    <row r="45" spans="1:35" s="57" customFormat="1">
      <c r="A45" s="55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</row>
    <row r="46" spans="1:35" s="57" customFormat="1" ht="15" customHeight="1">
      <c r="A46" s="211" t="s">
        <v>72</v>
      </c>
      <c r="B46" s="212"/>
      <c r="C46" s="56"/>
      <c r="D46" s="56"/>
      <c r="E46" s="56"/>
      <c r="F46" s="56"/>
      <c r="G46" s="56"/>
      <c r="H46" s="56"/>
      <c r="I46" s="56"/>
      <c r="J46" s="59"/>
      <c r="K46" s="67">
        <f>K43+J43</f>
        <v>0</v>
      </c>
      <c r="L46" s="67"/>
      <c r="M46" s="67">
        <f>M3-M42</f>
        <v>0</v>
      </c>
      <c r="N46" s="67">
        <f>N3-N42</f>
        <v>0</v>
      </c>
      <c r="O46" s="67"/>
      <c r="P46" s="58"/>
      <c r="Q46" s="58"/>
      <c r="R46" s="58"/>
      <c r="S46" s="58"/>
      <c r="T46" s="58"/>
      <c r="U46" s="58"/>
      <c r="V46" s="58"/>
      <c r="W46" s="58"/>
      <c r="X46" s="58"/>
      <c r="Y46" s="58"/>
      <c r="AA46" s="60"/>
    </row>
    <row r="47" spans="1:35" s="57" customFormat="1" ht="12.75" hidden="1" customHeight="1">
      <c r="A47" s="61">
        <v>2000</v>
      </c>
      <c r="B47" s="62">
        <f>SUM(B3)</f>
        <v>13000000</v>
      </c>
      <c r="C47" s="56"/>
      <c r="D47" s="56"/>
      <c r="E47" s="56"/>
      <c r="F47" s="56"/>
      <c r="G47" s="56"/>
      <c r="H47" s="56"/>
      <c r="I47" s="56"/>
      <c r="J47" s="56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58"/>
    </row>
    <row r="48" spans="1:35" s="57" customFormat="1" ht="13.5" hidden="1" customHeight="1">
      <c r="A48" s="61">
        <v>2001</v>
      </c>
      <c r="B48" s="62">
        <f>SUM(B3:C3)-Y6</f>
        <v>18933000</v>
      </c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8"/>
    </row>
    <row r="49" spans="1:26" s="57" customFormat="1" ht="15" hidden="1" customHeight="1">
      <c r="A49" s="61">
        <v>2002</v>
      </c>
      <c r="B49" s="62">
        <f>SUM(B3:D3)-Y6-Y7</f>
        <v>18933000</v>
      </c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</row>
    <row r="50" spans="1:26" s="57" customFormat="1" ht="12" hidden="1" customHeight="1">
      <c r="A50" s="61">
        <v>2003</v>
      </c>
      <c r="B50" s="62">
        <f>SUM($B$3:$E$3)-$Y$6-$Y$7-$Y$8</f>
        <v>34775000</v>
      </c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</row>
    <row r="51" spans="1:26" s="57" customFormat="1" ht="12.75" hidden="1" customHeight="1">
      <c r="A51" s="61">
        <v>2004</v>
      </c>
      <c r="B51" s="62">
        <f>SUM($B$3:$F$3)-$Y$6-$Y$7-$Y$8-$Y$9</f>
        <v>45452900</v>
      </c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</row>
    <row r="52" spans="1:26" s="57" customFormat="1" ht="12.75" customHeight="1">
      <c r="A52" s="61">
        <v>2005</v>
      </c>
      <c r="B52" s="62">
        <f>SUM($B$3:$F$3)+SUM($I$3)-$Y$6-$Y$7-$Y$8-$Y$9-$Y$10</f>
        <v>80814000</v>
      </c>
      <c r="C52" s="56"/>
      <c r="D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</row>
    <row r="53" spans="1:26" s="57" customFormat="1" ht="12" customHeight="1">
      <c r="A53" s="61">
        <v>2006</v>
      </c>
      <c r="B53" s="62">
        <f>SUM($B$3:$F$3)+SUM($I$3:$J$3)-$Y$6-$Y$7-$Y$8-$Y$9-$Y$10-$Y$11</f>
        <v>80814000</v>
      </c>
      <c r="C53" s="56"/>
      <c r="D53" s="64"/>
      <c r="F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</row>
    <row r="54" spans="1:26" s="57" customFormat="1" ht="12.75" customHeight="1">
      <c r="A54" s="61">
        <v>2007</v>
      </c>
      <c r="B54" s="62">
        <f>SUM($B$3:$F$3)+SUM($I$3:$K$3)-$Y$6-$Y$7-$Y$8-$Y$9-$Y$10-$Y$11-$Y$12</f>
        <v>101016000</v>
      </c>
      <c r="C54" s="56"/>
      <c r="D54" s="64"/>
      <c r="F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</row>
    <row r="55" spans="1:26" s="57" customFormat="1" ht="12.75" customHeight="1">
      <c r="A55" s="61">
        <v>2008</v>
      </c>
      <c r="B55" s="62">
        <f>SUM($B$3:$F$3)+SUM($I$3:$L$3)-$Y$6-$Y$7-$Y$8-$Y$9-$Y$10-$Y$11-$Y$12-$Y$13</f>
        <v>105962523</v>
      </c>
      <c r="C55" s="56"/>
      <c r="D55" s="64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</row>
    <row r="56" spans="1:26" s="57" customFormat="1" ht="12.75" customHeight="1">
      <c r="A56" s="61">
        <v>2009</v>
      </c>
      <c r="B56" s="62">
        <f>SUM($B$3:$F$3)+SUM($I$3:$L$3)-$Y$6-$Y$7-$Y$8-$Y$9-$Y$10-$Y$11-$Y$12-$Y$13-$Y$14+M3</f>
        <v>123267723</v>
      </c>
      <c r="C56" s="56"/>
      <c r="D56" s="64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</row>
    <row r="57" spans="1:26" s="57" customFormat="1" ht="15" customHeight="1">
      <c r="A57" s="61">
        <v>2010</v>
      </c>
      <c r="B57" s="62">
        <f>B56-Y15+N42</f>
        <v>152806261</v>
      </c>
      <c r="C57" s="56"/>
      <c r="D57" s="64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</row>
    <row r="58" spans="1:26" ht="13.5" customHeight="1">
      <c r="A58" s="40">
        <v>2011</v>
      </c>
      <c r="B58" s="53">
        <f>B57+O3-Y16</f>
        <v>170851461</v>
      </c>
      <c r="C58" s="76">
        <f>9366000+1</f>
        <v>9366001</v>
      </c>
      <c r="D58" s="75" t="s">
        <v>122</v>
      </c>
      <c r="E58" s="56"/>
      <c r="F58" s="56"/>
      <c r="G58" s="56"/>
      <c r="H58" s="56"/>
      <c r="I58" s="56"/>
      <c r="J58" s="58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7"/>
    </row>
    <row r="59" spans="1:26">
      <c r="A59" s="40">
        <v>2012</v>
      </c>
      <c r="B59" s="53">
        <f>SUM(B58+P3-Y17)</f>
        <v>255389661</v>
      </c>
      <c r="C59" s="56"/>
      <c r="D59" s="64"/>
      <c r="E59" s="57"/>
      <c r="F59" s="57"/>
      <c r="G59" s="57"/>
      <c r="H59" s="57"/>
      <c r="I59" s="57"/>
      <c r="J59" s="58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</row>
    <row r="60" spans="1:26" ht="13.5" customHeight="1">
      <c r="A60" s="40">
        <v>2013</v>
      </c>
      <c r="B60" s="53">
        <f>SUM(B59+Q3-Y18)</f>
        <v>346368661</v>
      </c>
      <c r="C60" s="56"/>
      <c r="D60" s="64"/>
      <c r="E60" s="57"/>
      <c r="F60" s="57"/>
      <c r="G60" s="57"/>
      <c r="H60" s="57"/>
      <c r="I60" s="57"/>
      <c r="J60" s="58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</row>
    <row r="61" spans="1:26" ht="12" customHeight="1">
      <c r="A61" s="40">
        <v>2014</v>
      </c>
      <c r="B61" s="53">
        <f>SUM(B60+R3-Y19)</f>
        <v>318414328</v>
      </c>
      <c r="C61" s="56"/>
      <c r="D61" s="64"/>
      <c r="E61" s="57"/>
      <c r="F61" s="57"/>
      <c r="G61" s="57"/>
      <c r="H61" s="57"/>
      <c r="I61" s="57"/>
      <c r="J61" s="58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</row>
    <row r="62" spans="1:26" ht="13.5" customHeight="1">
      <c r="A62" s="40">
        <v>2015</v>
      </c>
      <c r="B62" s="53">
        <f>SUM(B61+S3-Y20)</f>
        <v>290459995</v>
      </c>
      <c r="C62" s="56"/>
      <c r="D62" s="64"/>
      <c r="E62" s="57"/>
      <c r="F62" s="57"/>
      <c r="G62" s="57"/>
      <c r="H62" s="57"/>
      <c r="I62" s="57"/>
      <c r="J62" s="58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</row>
    <row r="63" spans="1:26" ht="13.5" customHeight="1">
      <c r="A63" s="6">
        <v>2016</v>
      </c>
      <c r="B63" s="3">
        <f>SUM(B62+T3-Y21)</f>
        <v>262505662</v>
      </c>
      <c r="C63" s="56"/>
      <c r="D63" s="64"/>
      <c r="E63" s="57"/>
      <c r="F63" s="57"/>
      <c r="G63" s="57"/>
      <c r="H63" s="57"/>
      <c r="I63" s="57"/>
      <c r="J63" s="58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</row>
    <row r="64" spans="1:26" ht="13.5" customHeight="1">
      <c r="A64" s="6">
        <v>2017</v>
      </c>
      <c r="B64" s="3">
        <f>SUM(B63+U3-Y22)</f>
        <v>234551329</v>
      </c>
      <c r="C64" s="56"/>
      <c r="D64" s="64"/>
      <c r="E64" s="57"/>
      <c r="F64" s="57"/>
      <c r="G64" s="57"/>
      <c r="H64" s="57"/>
      <c r="I64" s="57"/>
      <c r="J64" s="58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</row>
    <row r="65" spans="1:26" ht="13.5" customHeight="1">
      <c r="A65" s="6">
        <v>2018</v>
      </c>
      <c r="B65" s="3">
        <f>SUM(B64+V3-Y23)</f>
        <v>206596996</v>
      </c>
      <c r="C65" s="56"/>
      <c r="D65" s="64"/>
      <c r="E65" s="57"/>
      <c r="F65" s="57"/>
      <c r="G65" s="57"/>
      <c r="H65" s="57"/>
      <c r="I65" s="57"/>
      <c r="J65" s="58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</row>
    <row r="66" spans="1:26" ht="15" customHeight="1">
      <c r="A66" s="6">
        <v>2019</v>
      </c>
      <c r="B66" s="3">
        <f>SUM(B65+W3-Y24)</f>
        <v>178642663</v>
      </c>
      <c r="C66" s="56"/>
      <c r="D66" s="64"/>
      <c r="E66" s="57"/>
      <c r="F66" s="57"/>
      <c r="G66" s="57"/>
      <c r="H66" s="57"/>
      <c r="I66" s="57"/>
      <c r="J66" s="58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</row>
    <row r="67" spans="1:26" ht="14.25" customHeight="1">
      <c r="A67" s="6">
        <v>2020</v>
      </c>
      <c r="B67" s="3">
        <f>SUM(B66+X3-Y25)</f>
        <v>150688330</v>
      </c>
      <c r="C67" s="56"/>
      <c r="D67" s="64"/>
      <c r="E67" s="57"/>
      <c r="F67" s="57"/>
      <c r="G67" s="57"/>
      <c r="H67" s="57"/>
      <c r="I67" s="57"/>
      <c r="J67" s="58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</row>
    <row r="68" spans="1:26" ht="12.75" customHeight="1">
      <c r="A68" s="6">
        <v>2021</v>
      </c>
      <c r="B68" s="3">
        <f>SUM(B67-Y26)</f>
        <v>123558674</v>
      </c>
      <c r="C68" s="56"/>
      <c r="D68" s="64"/>
      <c r="E68" s="57"/>
      <c r="F68" s="57"/>
      <c r="G68" s="57"/>
      <c r="H68" s="57"/>
      <c r="I68" s="57"/>
      <c r="J68" s="58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</row>
    <row r="69" spans="1:26" ht="12" customHeight="1">
      <c r="A69" s="6">
        <v>2022</v>
      </c>
      <c r="B69" s="3">
        <f t="shared" ref="B69:B84" si="18">SUM(B68-Y27)</f>
        <v>97260341</v>
      </c>
      <c r="C69" s="56"/>
      <c r="D69" s="64"/>
      <c r="E69" s="57"/>
      <c r="F69" s="57"/>
      <c r="G69" s="57"/>
      <c r="H69" s="57"/>
      <c r="I69" s="57"/>
      <c r="J69" s="58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</row>
    <row r="70" spans="1:26">
      <c r="A70" s="6">
        <v>2023</v>
      </c>
      <c r="B70" s="3">
        <f t="shared" si="18"/>
        <v>76284808</v>
      </c>
      <c r="C70" s="57"/>
      <c r="D70" s="57"/>
      <c r="E70" s="57"/>
      <c r="F70" s="57"/>
      <c r="G70" s="57"/>
      <c r="H70" s="57"/>
      <c r="I70" s="57"/>
      <c r="J70" s="58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</row>
    <row r="71" spans="1:26">
      <c r="A71" s="5">
        <v>2024</v>
      </c>
      <c r="B71" s="3">
        <f t="shared" si="18"/>
        <v>56025275</v>
      </c>
      <c r="C71" s="57"/>
      <c r="D71" s="57"/>
      <c r="E71" s="57"/>
      <c r="F71" s="57"/>
      <c r="G71" s="57"/>
      <c r="H71" s="57"/>
      <c r="I71" s="57"/>
      <c r="J71" s="58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</row>
    <row r="72" spans="1:26">
      <c r="A72" s="5">
        <v>2025</v>
      </c>
      <c r="B72" s="3">
        <f t="shared" si="18"/>
        <v>37432404</v>
      </c>
      <c r="C72" s="57"/>
      <c r="D72" s="57"/>
      <c r="E72" s="57"/>
      <c r="F72" s="57"/>
      <c r="G72" s="57"/>
      <c r="H72" s="57"/>
      <c r="I72" s="57"/>
      <c r="J72" s="58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</row>
    <row r="73" spans="1:26">
      <c r="A73" s="4">
        <v>2026</v>
      </c>
      <c r="B73" s="3">
        <f t="shared" si="18"/>
        <v>21432871</v>
      </c>
      <c r="C73" s="57"/>
      <c r="D73" s="57"/>
      <c r="E73" s="57"/>
      <c r="F73" s="57"/>
      <c r="G73" s="57"/>
      <c r="H73" s="57"/>
      <c r="I73" s="57"/>
      <c r="J73" s="66">
        <f>(B73*5)/100</f>
        <v>1071643.55</v>
      </c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</row>
    <row r="74" spans="1:26">
      <c r="A74" s="4">
        <v>2027</v>
      </c>
      <c r="B74" s="3">
        <f t="shared" si="18"/>
        <v>7433338</v>
      </c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</row>
    <row r="75" spans="1:26">
      <c r="A75" s="4">
        <v>2028</v>
      </c>
      <c r="B75" s="3">
        <f t="shared" si="18"/>
        <v>0</v>
      </c>
      <c r="C75" s="57"/>
      <c r="D75" s="57"/>
      <c r="E75" s="57"/>
      <c r="F75" s="57"/>
      <c r="G75" s="65" t="s">
        <v>71</v>
      </c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</row>
    <row r="76" spans="1:26">
      <c r="A76" s="4">
        <v>2029</v>
      </c>
      <c r="B76" s="3">
        <f t="shared" si="18"/>
        <v>0</v>
      </c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</row>
    <row r="77" spans="1:26">
      <c r="A77" s="4">
        <v>2030</v>
      </c>
      <c r="B77" s="3">
        <f t="shared" si="18"/>
        <v>0</v>
      </c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</row>
    <row r="78" spans="1:26">
      <c r="A78" s="4">
        <v>2031</v>
      </c>
      <c r="B78" s="3">
        <f t="shared" si="18"/>
        <v>0</v>
      </c>
    </row>
    <row r="79" spans="1:26">
      <c r="A79" s="4">
        <v>2032</v>
      </c>
      <c r="B79" s="3">
        <f t="shared" si="18"/>
        <v>0</v>
      </c>
    </row>
    <row r="80" spans="1:26">
      <c r="A80" s="4">
        <v>2033</v>
      </c>
      <c r="B80" s="3">
        <f t="shared" si="18"/>
        <v>0</v>
      </c>
    </row>
    <row r="81" spans="1:2">
      <c r="A81" s="4">
        <v>2034</v>
      </c>
      <c r="B81" s="3">
        <f t="shared" si="18"/>
        <v>0</v>
      </c>
    </row>
    <row r="82" spans="1:2">
      <c r="A82" s="4">
        <v>2035</v>
      </c>
      <c r="B82" s="3">
        <f>SUM(B81-Y40)</f>
        <v>0</v>
      </c>
    </row>
    <row r="83" spans="1:2">
      <c r="A83" s="4">
        <v>2036</v>
      </c>
      <c r="B83" s="3">
        <f t="shared" si="18"/>
        <v>0</v>
      </c>
    </row>
    <row r="84" spans="1:2">
      <c r="A84" s="4">
        <v>2037</v>
      </c>
      <c r="B84" s="3">
        <f t="shared" si="18"/>
        <v>0</v>
      </c>
    </row>
    <row r="85" spans="1:2">
      <c r="A85" s="4">
        <v>2038</v>
      </c>
      <c r="B85" s="3"/>
    </row>
    <row r="86" spans="1:2">
      <c r="B86" s="183"/>
    </row>
  </sheetData>
  <mergeCells count="2">
    <mergeCell ref="A46:B46"/>
    <mergeCell ref="A1:Y1"/>
  </mergeCells>
  <printOptions horizontalCentered="1"/>
  <pageMargins left="0" right="0" top="0.43307086614173229" bottom="0" header="0.51181102362204722" footer="0.51181102362204722"/>
  <pageSetup paperSize="9" scale="4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Dane</vt:lpstr>
      <vt:lpstr>kwota długu</vt:lpstr>
      <vt:lpstr>Raty spłat</vt:lpstr>
      <vt:lpstr>'kwota długu'!Obszar_wydruku</vt:lpstr>
      <vt:lpstr>'Raty spłat'!Obszar_wydruku</vt:lpstr>
      <vt:lpstr>'kwota długu'!Tytuły_wydruku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B&amp;J</dc:creator>
  <cp:lastModifiedBy>h.czech</cp:lastModifiedBy>
  <cp:lastPrinted>2012-11-09T13:29:58Z</cp:lastPrinted>
  <dcterms:created xsi:type="dcterms:W3CDTF">2010-10-09T21:31:08Z</dcterms:created>
  <dcterms:modified xsi:type="dcterms:W3CDTF">2012-11-23T14:09:08Z</dcterms:modified>
</cp:coreProperties>
</file>