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3170"/>
  </bookViews>
  <sheets>
    <sheet name="Arkusz1" sheetId="1" r:id="rId1"/>
  </sheets>
  <definedNames>
    <definedName name="_xlnm.Print_Area" localSheetId="0">Arkusz1!$A$1:$P$108</definedName>
    <definedName name="_xlnm.Print_Titles" localSheetId="0">Arkusz1!$8:$11</definedName>
  </definedNames>
  <calcPr calcId="125725"/>
</workbook>
</file>

<file path=xl/calcChain.xml><?xml version="1.0" encoding="utf-8"?>
<calcChain xmlns="http://schemas.openxmlformats.org/spreadsheetml/2006/main">
  <c r="K40" i="1"/>
  <c r="K41"/>
  <c r="K42"/>
  <c r="K43"/>
  <c r="K44"/>
  <c r="K45"/>
  <c r="K46"/>
  <c r="J47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107"/>
  <c r="K106"/>
  <c r="O105"/>
  <c r="N105"/>
  <c r="N104" s="1"/>
  <c r="M105"/>
  <c r="M104" s="1"/>
  <c r="L105"/>
  <c r="L104" s="1"/>
  <c r="J105"/>
  <c r="J104" s="1"/>
  <c r="O104"/>
  <c r="K103"/>
  <c r="O102"/>
  <c r="N102"/>
  <c r="M102"/>
  <c r="L102"/>
  <c r="K102"/>
  <c r="J102"/>
  <c r="O101"/>
  <c r="N101"/>
  <c r="M101"/>
  <c r="L101"/>
  <c r="K101"/>
  <c r="J101"/>
  <c r="K100"/>
  <c r="K99" s="1"/>
  <c r="K98" s="1"/>
  <c r="O99"/>
  <c r="N99"/>
  <c r="M99"/>
  <c r="M98" s="1"/>
  <c r="L99"/>
  <c r="J99"/>
  <c r="O98"/>
  <c r="N98"/>
  <c r="L98"/>
  <c r="J98"/>
  <c r="K97"/>
  <c r="J97"/>
  <c r="O95"/>
  <c r="N95"/>
  <c r="M95"/>
  <c r="L95"/>
  <c r="K95"/>
  <c r="J95"/>
  <c r="K94"/>
  <c r="K93"/>
  <c r="K92"/>
  <c r="K91"/>
  <c r="O90"/>
  <c r="N90"/>
  <c r="M90"/>
  <c r="L90"/>
  <c r="J90"/>
  <c r="K89"/>
  <c r="K88" s="1"/>
  <c r="O88"/>
  <c r="N88"/>
  <c r="N87" s="1"/>
  <c r="M88"/>
  <c r="L88"/>
  <c r="J88"/>
  <c r="K86"/>
  <c r="K85"/>
  <c r="O84"/>
  <c r="O83" s="1"/>
  <c r="N84"/>
  <c r="N83" s="1"/>
  <c r="M84"/>
  <c r="L84"/>
  <c r="L83" s="1"/>
  <c r="J84"/>
  <c r="J83" s="1"/>
  <c r="M83"/>
  <c r="K82"/>
  <c r="K81"/>
  <c r="O80"/>
  <c r="O79" s="1"/>
  <c r="N80"/>
  <c r="N79" s="1"/>
  <c r="M80"/>
  <c r="L80"/>
  <c r="L79" s="1"/>
  <c r="J80"/>
  <c r="J79" s="1"/>
  <c r="M79"/>
  <c r="K78"/>
  <c r="K77"/>
  <c r="K76"/>
  <c r="O75"/>
  <c r="N75"/>
  <c r="M75"/>
  <c r="L75"/>
  <c r="J75"/>
  <c r="K74"/>
  <c r="K73" s="1"/>
  <c r="O73"/>
  <c r="N73"/>
  <c r="M73"/>
  <c r="L73"/>
  <c r="J73"/>
  <c r="L72"/>
  <c r="K72" s="1"/>
  <c r="K71" s="1"/>
  <c r="O71"/>
  <c r="N71"/>
  <c r="M71"/>
  <c r="J71"/>
  <c r="O39"/>
  <c r="N39"/>
  <c r="M39"/>
  <c r="L39"/>
  <c r="J39"/>
  <c r="K38"/>
  <c r="K37"/>
  <c r="K36"/>
  <c r="O35"/>
  <c r="N35"/>
  <c r="M35"/>
  <c r="L35"/>
  <c r="J35"/>
  <c r="K33"/>
  <c r="K32" s="1"/>
  <c r="K31" s="1"/>
  <c r="O32"/>
  <c r="N32"/>
  <c r="N31" s="1"/>
  <c r="M32"/>
  <c r="M31" s="1"/>
  <c r="L32"/>
  <c r="L31" s="1"/>
  <c r="J32"/>
  <c r="J31" s="1"/>
  <c r="O31"/>
  <c r="K30"/>
  <c r="K29" s="1"/>
  <c r="O29"/>
  <c r="N29"/>
  <c r="M29"/>
  <c r="L29"/>
  <c r="J29"/>
  <c r="K28"/>
  <c r="K27" s="1"/>
  <c r="O27"/>
  <c r="N27"/>
  <c r="M27"/>
  <c r="L27"/>
  <c r="J27"/>
  <c r="K26"/>
  <c r="K25" s="1"/>
  <c r="O25"/>
  <c r="N25"/>
  <c r="M25"/>
  <c r="L25"/>
  <c r="J25"/>
  <c r="K24"/>
  <c r="K23"/>
  <c r="K22"/>
  <c r="K21"/>
  <c r="K20"/>
  <c r="O19"/>
  <c r="N19"/>
  <c r="M19"/>
  <c r="L19"/>
  <c r="J19"/>
  <c r="K18"/>
  <c r="K17"/>
  <c r="K16"/>
  <c r="K15"/>
  <c r="K14"/>
  <c r="O13"/>
  <c r="N13"/>
  <c r="N12" s="1"/>
  <c r="M13"/>
  <c r="L13"/>
  <c r="J1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40"/>
  <c r="E41"/>
  <c r="E42"/>
  <c r="D61"/>
  <c r="D65"/>
  <c r="D62"/>
  <c r="D47"/>
  <c r="F29"/>
  <c r="G29"/>
  <c r="H29"/>
  <c r="I29"/>
  <c r="E30"/>
  <c r="E29" s="1"/>
  <c r="D29"/>
  <c r="E86"/>
  <c r="E85"/>
  <c r="I84"/>
  <c r="I83" s="1"/>
  <c r="H84"/>
  <c r="H83" s="1"/>
  <c r="G84"/>
  <c r="F84"/>
  <c r="F83" s="1"/>
  <c r="D84"/>
  <c r="D83" s="1"/>
  <c r="G83"/>
  <c r="D97"/>
  <c r="F43"/>
  <c r="E43" s="1"/>
  <c r="D63"/>
  <c r="D67"/>
  <c r="D56"/>
  <c r="F70"/>
  <c r="E70" s="1"/>
  <c r="F69"/>
  <c r="E69" s="1"/>
  <c r="D33"/>
  <c r="M87" l="1"/>
  <c r="O34"/>
  <c r="L87"/>
  <c r="O87"/>
  <c r="L12"/>
  <c r="O12"/>
  <c r="O108" s="1"/>
  <c r="M34"/>
  <c r="K35"/>
  <c r="L71"/>
  <c r="M12"/>
  <c r="K75"/>
  <c r="K90"/>
  <c r="K84"/>
  <c r="K83" s="1"/>
  <c r="K80"/>
  <c r="K79" s="1"/>
  <c r="L34"/>
  <c r="J12"/>
  <c r="K19"/>
  <c r="M108"/>
  <c r="N34"/>
  <c r="N108" s="1"/>
  <c r="J87"/>
  <c r="K87"/>
  <c r="K13"/>
  <c r="K105"/>
  <c r="K104" s="1"/>
  <c r="L108"/>
  <c r="J34"/>
  <c r="F39"/>
  <c r="K39"/>
  <c r="E84"/>
  <c r="E83" s="1"/>
  <c r="E106"/>
  <c r="F72"/>
  <c r="D66"/>
  <c r="D64"/>
  <c r="D105"/>
  <c r="K34" l="1"/>
  <c r="J108"/>
  <c r="K12"/>
  <c r="K108" s="1"/>
  <c r="D55"/>
  <c r="D57"/>
  <c r="D49"/>
  <c r="G39"/>
  <c r="H39"/>
  <c r="I39"/>
  <c r="F13"/>
  <c r="G13"/>
  <c r="H13"/>
  <c r="I13"/>
  <c r="E72"/>
  <c r="E71" s="1"/>
  <c r="I71"/>
  <c r="H71"/>
  <c r="G71"/>
  <c r="F71"/>
  <c r="D71"/>
  <c r="D94"/>
  <c r="D90" s="1"/>
  <c r="F105"/>
  <c r="F104" s="1"/>
  <c r="G105"/>
  <c r="G104" s="1"/>
  <c r="H105"/>
  <c r="H104" s="1"/>
  <c r="I105"/>
  <c r="I104" s="1"/>
  <c r="D104"/>
  <c r="E37"/>
  <c r="E23"/>
  <c r="E21"/>
  <c r="E17"/>
  <c r="E18"/>
  <c r="E16"/>
  <c r="E15"/>
  <c r="D100"/>
  <c r="D99" s="1"/>
  <c r="D98" s="1"/>
  <c r="E107"/>
  <c r="E103"/>
  <c r="E102" s="1"/>
  <c r="E101" s="1"/>
  <c r="F102"/>
  <c r="F101" s="1"/>
  <c r="G102"/>
  <c r="G101" s="1"/>
  <c r="H102"/>
  <c r="H101" s="1"/>
  <c r="I102"/>
  <c r="I101" s="1"/>
  <c r="D102"/>
  <c r="D101" s="1"/>
  <c r="E100"/>
  <c r="F99"/>
  <c r="F98" s="1"/>
  <c r="G99"/>
  <c r="G98" s="1"/>
  <c r="H99"/>
  <c r="H98" s="1"/>
  <c r="I99"/>
  <c r="I98" s="1"/>
  <c r="E97"/>
  <c r="E95" s="1"/>
  <c r="F95"/>
  <c r="G95"/>
  <c r="H95"/>
  <c r="I95"/>
  <c r="D95"/>
  <c r="E91"/>
  <c r="E90" s="1"/>
  <c r="E92"/>
  <c r="E93"/>
  <c r="E94"/>
  <c r="F90"/>
  <c r="G90"/>
  <c r="H90"/>
  <c r="I90"/>
  <c r="E89"/>
  <c r="E88" s="1"/>
  <c r="F88"/>
  <c r="G88"/>
  <c r="G87" s="1"/>
  <c r="H88"/>
  <c r="I88"/>
  <c r="D88"/>
  <c r="E81"/>
  <c r="E82"/>
  <c r="F80"/>
  <c r="F79" s="1"/>
  <c r="G80"/>
  <c r="G79" s="1"/>
  <c r="H80"/>
  <c r="H79" s="1"/>
  <c r="I80"/>
  <c r="I79" s="1"/>
  <c r="D80"/>
  <c r="D79" s="1"/>
  <c r="E76"/>
  <c r="E77"/>
  <c r="E78"/>
  <c r="F75"/>
  <c r="F34" s="1"/>
  <c r="G75"/>
  <c r="H75"/>
  <c r="I75"/>
  <c r="I34" s="1"/>
  <c r="E74"/>
  <c r="E73" s="1"/>
  <c r="F73"/>
  <c r="G73"/>
  <c r="H73"/>
  <c r="I73"/>
  <c r="E36"/>
  <c r="E35" s="1"/>
  <c r="E38"/>
  <c r="F35"/>
  <c r="G35"/>
  <c r="H35"/>
  <c r="H34" s="1"/>
  <c r="I35"/>
  <c r="D73"/>
  <c r="E33"/>
  <c r="E32" s="1"/>
  <c r="E31" s="1"/>
  <c r="F32"/>
  <c r="F31" s="1"/>
  <c r="G32"/>
  <c r="G31" s="1"/>
  <c r="H32"/>
  <c r="H31" s="1"/>
  <c r="I32"/>
  <c r="I31" s="1"/>
  <c r="D32"/>
  <c r="D31" s="1"/>
  <c r="E26"/>
  <c r="E25" s="1"/>
  <c r="F25"/>
  <c r="G25"/>
  <c r="H25"/>
  <c r="I25"/>
  <c r="D25"/>
  <c r="E28"/>
  <c r="E27" s="1"/>
  <c r="F27"/>
  <c r="G27"/>
  <c r="H27"/>
  <c r="I27"/>
  <c r="D27"/>
  <c r="E20"/>
  <c r="E22"/>
  <c r="G19"/>
  <c r="F19"/>
  <c r="H19"/>
  <c r="I19"/>
  <c r="D19"/>
  <c r="E14"/>
  <c r="D13"/>
  <c r="E24"/>
  <c r="D75"/>
  <c r="D35"/>
  <c r="E99"/>
  <c r="E98" s="1"/>
  <c r="H87"/>
  <c r="F87"/>
  <c r="E19" l="1"/>
  <c r="D12"/>
  <c r="E13"/>
  <c r="E12" s="1"/>
  <c r="I87"/>
  <c r="D87"/>
  <c r="E105"/>
  <c r="E104" s="1"/>
  <c r="H12"/>
  <c r="H108" s="1"/>
  <c r="F12"/>
  <c r="F108" s="1"/>
  <c r="D39"/>
  <c r="D34" s="1"/>
  <c r="I12"/>
  <c r="I108" s="1"/>
  <c r="G12"/>
  <c r="E75"/>
  <c r="E80"/>
  <c r="E79" s="1"/>
  <c r="E87"/>
  <c r="E39"/>
  <c r="G34"/>
  <c r="E34" l="1"/>
  <c r="E108" s="1"/>
  <c r="G108"/>
  <c r="D108"/>
</calcChain>
</file>

<file path=xl/sharedStrings.xml><?xml version="1.0" encoding="utf-8"?>
<sst xmlns="http://schemas.openxmlformats.org/spreadsheetml/2006/main" count="172" uniqueCount="144">
  <si>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</si>
  <si>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</si>
  <si>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</si>
  <si>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</si>
  <si>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</si>
  <si>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</si>
  <si>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</si>
  <si>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</si>
  <si>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</si>
  <si>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</si>
  <si>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Program Współpracy Transgranicznej Litwa-Polska-Rosja 2007-2013</t>
  </si>
  <si>
    <t>Zarząd Melioracji i Urządzeń Wodnych w Olsztynie</t>
  </si>
  <si>
    <t>01006</t>
  </si>
  <si>
    <t>Żuławski Zarząd Melioracji i Urządzeń Wodnych w Elblągu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</si>
  <si>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</si>
  <si>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</si>
  <si>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</si>
  <si>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</si>
  <si>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</si>
  <si>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</si>
  <si>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Wydatki na zakupy inwestycyjne, w tym: zakup i instalacja sprzętu komputerowego i oprogramowania, drukarek w ramach PROW 2007-2013</t>
  </si>
  <si>
    <t>050</t>
  </si>
  <si>
    <t>05011</t>
  </si>
  <si>
    <t>600</t>
  </si>
  <si>
    <t>60001</t>
  </si>
  <si>
    <t>Usługa leasingu finansowego 3 szt. dwuczłonowych autobusów szynowych</t>
  </si>
  <si>
    <t>60013</t>
  </si>
  <si>
    <t>Zarząd Dróg Wojewódzkich w Olsztynie</t>
  </si>
  <si>
    <t>Wojewódzki Urząd Pracy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</si>
  <si>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</si>
  <si>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</si>
  <si>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</si>
  <si>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</si>
  <si>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</si>
  <si>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</si>
  <si>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</si>
  <si>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</si>
  <si>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</si>
  <si>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</si>
  <si>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</si>
  <si>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</si>
  <si>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</si>
  <si>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</si>
  <si>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</si>
  <si>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</si>
  <si>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</si>
  <si>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Sieć Szerokopasmowa Polski Wschodniej</t>
  </si>
  <si>
    <t>60095</t>
  </si>
  <si>
    <t>Data Center "Wrota Warmii i Mazur" Cyfrowy Urząd</t>
  </si>
  <si>
    <t>700</t>
  </si>
  <si>
    <t>70005</t>
  </si>
  <si>
    <t>Zakup nieruchomości, w trybie kodeksu cywilnego, na potrzeby budowy lub modernizacji dróg wojewódzkich</t>
  </si>
  <si>
    <t>750</t>
  </si>
  <si>
    <t>75018</t>
  </si>
  <si>
    <t>75017</t>
  </si>
  <si>
    <t>75095</t>
  </si>
  <si>
    <t>Pomoc Techniczna - Funkcjonowanie filii Wspólnego Sekretariatu Technicznego Programu w Urzędzie Marszałkowskim Woj.W-M</t>
  </si>
  <si>
    <t>Kluczowe wyzwania dla województw Polski Wschodniej w przyszłym okresie programowania - analizy rozwoju sytuacji, plany adaptacji i stworzenie systemu stałej współpracy</t>
  </si>
  <si>
    <t>853</t>
  </si>
  <si>
    <t>85332</t>
  </si>
  <si>
    <t>900</t>
  </si>
  <si>
    <t>925</t>
  </si>
  <si>
    <t>92502</t>
  </si>
  <si>
    <t>Zarządy melioracji i urządzeń wodnych</t>
  </si>
  <si>
    <t>Melioracje wodne</t>
  </si>
  <si>
    <t>Rybołówstwo i rybactwo</t>
  </si>
  <si>
    <t>Program Operacyjny Zrównoważony rozwój sektora rybołówstwa i nadbrzeżnych obszarów rybackich 2007-2013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</si>
  <si>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</si>
  <si>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</si>
  <si>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</si>
  <si>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</si>
  <si>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</si>
  <si>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</si>
  <si>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</si>
  <si>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</si>
  <si>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</si>
  <si>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</si>
  <si>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</si>
  <si>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</si>
  <si>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Gospodarka komunalna i ochrona środowiska</t>
  </si>
  <si>
    <t>Ogrody botaniczne i zoologiczne oraz naturalne obszary i obiekty chronionej przyrody</t>
  </si>
  <si>
    <t>Parki krajobrazowe</t>
  </si>
  <si>
    <t>01042</t>
  </si>
  <si>
    <t>Wyłączenie z produkcji gruntów rolnych</t>
  </si>
  <si>
    <t>w zł</t>
  </si>
  <si>
    <t>Dz.</t>
  </si>
  <si>
    <t>Planowane wydatki na inwestycje wieloletnie przewidziane do realizacji 
w 2012 roku</t>
  </si>
  <si>
    <t>Rok 
budżetowy 2012
(6 do 9)</t>
  </si>
  <si>
    <t>Nazwa zadania inwestycyjnego 
realizowanego w 2012 roku</t>
  </si>
  <si>
    <t>Przebudowa przyłącza energetycznego i wodociągowego budynku biurowego Rejonowego Oddziału w Olsztynie przy ulicy Kościuszki 37A</t>
  </si>
  <si>
    <t>Termomodernizacja budynku biurowego przy ul. Grota Roweckiego 1 w Bartoszycach</t>
  </si>
  <si>
    <t xml:space="preserve">Program Rozwoju Obszarów Wiejskich 2007-2013 </t>
  </si>
  <si>
    <t>Monitoring budynku Zarządu ul. Junaków 3</t>
  </si>
  <si>
    <t>Wymiana sieci ciepłowniczej w budynku Zarządu ul. Junaków 3</t>
  </si>
  <si>
    <t>Wymiana automatyki pieca olejowego w budynku Zarządu ul. Junaków 3</t>
  </si>
  <si>
    <t>Park Krajobrazowy Puszczy Rominckiej w Żytkiejmach</t>
  </si>
  <si>
    <t>Rozwój bazy edukacyjnej Parku Krajobrazowego Puszczy Rominckiej w Żytkiejmach</t>
  </si>
  <si>
    <t>90095</t>
  </si>
  <si>
    <t xml:space="preserve">MANEV - Ocena gospodarki odchodami z produkcji zwierzęcej i metod ich przetwarzania dla ochrony środowiska i zównoważonej hodowli zwierząt w Europie - opracowanie oprogramowania komputerowego </t>
  </si>
  <si>
    <t>Program Operacyjny Infrastruktura i Środowisko 2007-2013
Kompleksowe zabezpieczenie przeciwpowodziowe Żuław - Etap I</t>
  </si>
  <si>
    <t>Dostawa nowego trójczłonowego elektrycznego zespołu trakcyjnego</t>
  </si>
  <si>
    <t>Dostawa nowego dwuczłonowego elektrycznego zespołu trakcyjnego w formie leasingu finansowego na lata 2012-2015</t>
  </si>
  <si>
    <t xml:space="preserve">Budowa Warmińsko-Mazurskiej platformy GIS dla przedsiębiorstw </t>
  </si>
  <si>
    <t>III rata za nieruchomość gruntową zabudowaną położoną w Olsztynie przy ul. Głowackiego 17</t>
  </si>
  <si>
    <t>Remont / modernizacja budynku Urzędu Marszałkowskiego przy ul. Głowackiego 17</t>
  </si>
  <si>
    <t xml:space="preserve">Zakup centrali telefonicznej </t>
  </si>
  <si>
    <t>Pomoc Techniczna</t>
  </si>
  <si>
    <t>60014</t>
  </si>
  <si>
    <t>Remont mostu w miejscowości Prosna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</si>
  <si>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</si>
  <si>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</si>
  <si>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</si>
  <si>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Przebudowa mostu na przepust w msc. Niedźwiedzkie (655) oraz przebudowa lub rozbudowa 14 przepustów: k/msc. Krosno (527), k/msc. Zbożne (527), k/msc. Kuligi (538), k/msc. Nowe Borowe (545), k/msc. Wiewiórki (512), k/msc. Wojmiany (511), k/msc. Zajączkowo (504), k/msc. Jedwabno (545), k/msc. Duły (655), k/msc. Słupnica (538), k/msc. Winda (591), k/msc. Kiepojcie (651), k/msc. Zdrojek (604), k/msc. Kraszewo (544)</t>
  </si>
  <si>
    <t>Dokumentacje techniczne</t>
  </si>
  <si>
    <t>Wzmocnienie nawierzchi drogi nr 591 odcinkami między Kętrzynem i Mrągowem (2012-2013)</t>
  </si>
  <si>
    <t>Budowa chodnika w ciągu drogi nr 507 w msc. Lipowina 
(2012-2013)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</si>
  <si>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</si>
  <si>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</si>
  <si>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granica województwa - Rychliki</t>
  </si>
  <si>
    <t>Adaptacja pomieszczeń biurowych przejętych po Wojewódzkim Zespole Medycyny Przemysłowej w Olsztynie</t>
  </si>
  <si>
    <t>Drogi publiczne powiatowe</t>
  </si>
  <si>
    <t>Termomodernizacja systemu ogrzewania siedziby Welskiego Parku Krajobrazowego w Jeleniu</t>
  </si>
  <si>
    <t>Rozbudowa drogi wojewódzkiej nr 526 na odcinku Śliwica - Kąty 2,4 km z przebudową mostu</t>
  </si>
  <si>
    <t>Rozbudowa drogi wojewódzkiej nr 527 na odcinku Rychliki - Jelonki wraz z infrastrukturą towarzyszącą</t>
  </si>
  <si>
    <t>Welski Park Krajobrazowy</t>
  </si>
  <si>
    <t>Przebudowa mostu na przepust stalowy w ciągu drogi wojewódzkich nr 510 k/msc. Łajsy</t>
  </si>
  <si>
    <t>710</t>
  </si>
  <si>
    <t>71003</t>
  </si>
  <si>
    <t>Warmińsko-Mazurskie Biuro Planowania Przestrzennego</t>
  </si>
  <si>
    <t xml:space="preserve">Zakup aktualizacji oprogramowania do projektowania "MAP-INFO" </t>
  </si>
  <si>
    <t>Zakup oprogramowania do projektowania "MAP-INFO"</t>
  </si>
  <si>
    <t>01095</t>
  </si>
  <si>
    <t>Doposażenie magazynu przeciwpowodziowego</t>
  </si>
  <si>
    <t>Budowa i przebudowa chodnika przy ul. Kościuszki w Biskupcu w ciągu drogi nr 596</t>
  </si>
  <si>
    <t>Ogółem</t>
  </si>
  <si>
    <t>Tabela Nr 3</t>
  </si>
  <si>
    <t>Wykonane wydatki na inwestycje wieloletnie przewidziane do realizacji 
w 2012 roku</t>
  </si>
  <si>
    <t>Rok 
budżetowy 2012
(12 do 15)</t>
  </si>
  <si>
    <t>Wykonane wydatki</t>
  </si>
  <si>
    <t>Działalność usługowa</t>
  </si>
  <si>
    <t>Wykonanie wydatkow na zadania inwestycyjne (roczne i wieloletnie) przewidziane do realizacji w 2012 roku na dzien 30.06.2012 r.</t>
  </si>
  <si>
    <t>Biura planowania przestrzennego</t>
  </si>
  <si>
    <t>Modernizacja i rozbudowa Centrum Zarządzania Siecią w Urzędzie Marszałkowskim Województwa Warmińsko-Mazurskiego 
w Olsztynie</t>
  </si>
  <si>
    <t>Wydatki na zakupy inwestycyjne, w tym zakup kserokopiarki kolor w ramach PO RYBY 2007-2013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</si>
</sst>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vertical="top"/>
    </xf>
    <xf numFmtId="3" fontId="4" fillId="5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/>
    <xf numFmtId="3" fontId="3" fillId="5" borderId="0" xfId="0" applyNumberFormat="1" applyFon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Border="1" applyAlignment="1" applyProtection="1">
      <alignment horizontal="left"/>
      <protection locked="0"/>
    </xf>
    <xf numFmtId="3" fontId="5" fillId="2" borderId="0" xfId="0" applyNumberFormat="1" applyFont="1" applyFill="1" applyBorder="1" applyAlignment="1" applyProtection="1">
      <alignment horizontal="left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/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vertical="center" wrapText="1"/>
    </xf>
    <xf numFmtId="3" fontId="9" fillId="4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49" fontId="3" fillId="5" borderId="2" xfId="0" applyNumberFormat="1" applyFont="1" applyFill="1" applyBorder="1" applyAlignment="1">
      <alignment vertical="center"/>
    </xf>
    <xf numFmtId="49" fontId="3" fillId="5" borderId="2" xfId="0" applyNumberFormat="1" applyFont="1" applyFill="1" applyBorder="1" applyAlignment="1">
      <alignment vertical="top"/>
    </xf>
    <xf numFmtId="49" fontId="3" fillId="5" borderId="6" xfId="0" applyNumberFormat="1" applyFont="1" applyFill="1" applyBorder="1" applyAlignment="1">
      <alignment vertical="top" wrapText="1"/>
    </xf>
    <xf numFmtId="3" fontId="3" fillId="5" borderId="6" xfId="0" applyNumberFormat="1" applyFont="1" applyFill="1" applyBorder="1" applyAlignment="1">
      <alignment horizontal="right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/>
    <xf numFmtId="49" fontId="3" fillId="5" borderId="7" xfId="0" applyNumberFormat="1" applyFont="1" applyFill="1" applyBorder="1" applyAlignment="1">
      <alignment vertical="top" wrapText="1"/>
    </xf>
    <xf numFmtId="3" fontId="3" fillId="5" borderId="7" xfId="0" applyNumberFormat="1" applyFont="1" applyFill="1" applyBorder="1" applyAlignment="1">
      <alignment horizontal="right"/>
    </xf>
    <xf numFmtId="0" fontId="3" fillId="5" borderId="7" xfId="0" applyFont="1" applyFill="1" applyBorder="1" applyAlignment="1">
      <alignment horizontal="center" vertical="center" wrapText="1"/>
    </xf>
    <xf numFmtId="49" fontId="3" fillId="5" borderId="13" xfId="0" applyNumberFormat="1" applyFont="1" applyFill="1" applyBorder="1" applyAlignment="1">
      <alignment vertical="center" wrapText="1"/>
    </xf>
    <xf numFmtId="3" fontId="3" fillId="5" borderId="13" xfId="0" applyNumberFormat="1" applyFont="1" applyFill="1" applyBorder="1" applyAlignment="1">
      <alignment horizontal="right"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3" fillId="5" borderId="7" xfId="0" applyNumberFormat="1" applyFont="1" applyFill="1" applyBorder="1" applyAlignment="1">
      <alignment vertical="center" wrapText="1"/>
    </xf>
    <xf numFmtId="3" fontId="3" fillId="5" borderId="7" xfId="0" applyNumberFormat="1" applyFont="1" applyFill="1" applyBorder="1" applyAlignment="1">
      <alignment horizontal="right" vertical="center"/>
    </xf>
    <xf numFmtId="0" fontId="5" fillId="5" borderId="0" xfId="0" applyFont="1" applyFill="1"/>
    <xf numFmtId="49" fontId="3" fillId="5" borderId="8" xfId="0" applyNumberFormat="1" applyFont="1" applyFill="1" applyBorder="1" applyAlignment="1">
      <alignment vertical="top" wrapText="1"/>
    </xf>
    <xf numFmtId="3" fontId="3" fillId="5" borderId="8" xfId="0" applyNumberFormat="1" applyFont="1" applyFill="1" applyBorder="1" applyAlignment="1">
      <alignment horizontal="right"/>
    </xf>
    <xf numFmtId="0" fontId="3" fillId="5" borderId="8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top" wrapText="1"/>
    </xf>
    <xf numFmtId="0" fontId="9" fillId="2" borderId="0" xfId="0" applyFont="1" applyFill="1"/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5" borderId="6" xfId="0" applyNumberFormat="1" applyFont="1" applyFill="1" applyBorder="1" applyAlignment="1">
      <alignment vertical="center" wrapText="1"/>
    </xf>
    <xf numFmtId="3" fontId="3" fillId="5" borderId="6" xfId="0" applyNumberFormat="1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vertical="top"/>
    </xf>
    <xf numFmtId="49" fontId="3" fillId="5" borderId="13" xfId="0" applyNumberFormat="1" applyFont="1" applyFill="1" applyBorder="1" applyAlignment="1">
      <alignment vertical="top" wrapText="1"/>
    </xf>
    <xf numFmtId="3" fontId="3" fillId="5" borderId="13" xfId="0" applyNumberFormat="1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3" fillId="5" borderId="2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49" fontId="3" fillId="5" borderId="8" xfId="0" applyNumberFormat="1" applyFont="1" applyFill="1" applyBorder="1" applyAlignment="1">
      <alignment vertical="center" wrapText="1"/>
    </xf>
    <xf numFmtId="3" fontId="3" fillId="5" borderId="8" xfId="0" applyNumberFormat="1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vertical="center" wrapText="1"/>
    </xf>
    <xf numFmtId="3" fontId="9" fillId="3" borderId="4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vertical="top" wrapText="1"/>
    </xf>
    <xf numFmtId="3" fontId="3" fillId="5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vertical="top" wrapText="1"/>
    </xf>
    <xf numFmtId="3" fontId="3" fillId="2" borderId="4" xfId="0" applyNumberFormat="1" applyFont="1" applyFill="1" applyBorder="1" applyAlignment="1">
      <alignment horizontal="right"/>
    </xf>
    <xf numFmtId="3" fontId="3" fillId="5" borderId="4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top"/>
    </xf>
    <xf numFmtId="49" fontId="5" fillId="2" borderId="2" xfId="0" applyNumberFormat="1" applyFont="1" applyFill="1" applyBorder="1" applyAlignment="1">
      <alignment vertical="top"/>
    </xf>
    <xf numFmtId="3" fontId="3" fillId="0" borderId="6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49" fontId="5" fillId="2" borderId="4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left" vertical="top" wrapText="1"/>
    </xf>
    <xf numFmtId="3" fontId="3" fillId="0" borderId="8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vertical="center"/>
    </xf>
    <xf numFmtId="49" fontId="5" fillId="2" borderId="3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top" wrapText="1"/>
    </xf>
    <xf numFmtId="3" fontId="3" fillId="0" borderId="7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3" fontId="3" fillId="2" borderId="7" xfId="1" applyNumberFormat="1" applyFont="1" applyFill="1" applyBorder="1" applyAlignment="1">
      <alignment horizontal="right" wrapText="1"/>
    </xf>
    <xf numFmtId="3" fontId="3" fillId="2" borderId="7" xfId="1" applyNumberFormat="1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vertical="center" wrapText="1"/>
    </xf>
    <xf numFmtId="3" fontId="3" fillId="2" borderId="5" xfId="2" applyNumberFormat="1" applyFont="1" applyFill="1" applyBorder="1" applyAlignment="1">
      <alignment horizontal="right" vertical="center"/>
    </xf>
    <xf numFmtId="3" fontId="3" fillId="2" borderId="4" xfId="2" applyNumberFormat="1" applyFont="1" applyFill="1" applyBorder="1" applyAlignment="1">
      <alignment horizontal="right" vertical="center"/>
    </xf>
    <xf numFmtId="3" fontId="3" fillId="5" borderId="4" xfId="2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center" vertical="center" wrapText="1"/>
    </xf>
    <xf numFmtId="3" fontId="3" fillId="5" borderId="8" xfId="0" applyNumberFormat="1" applyFont="1" applyFill="1" applyBorder="1" applyAlignment="1">
      <alignment horizontal="right" vertical="center" wrapText="1"/>
    </xf>
    <xf numFmtId="3" fontId="8" fillId="5" borderId="1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vertical="top" wrapText="1"/>
    </xf>
    <xf numFmtId="3" fontId="3" fillId="2" borderId="6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3" fillId="2" borderId="0" xfId="0" applyNumberFormat="1" applyFont="1" applyFill="1"/>
    <xf numFmtId="3" fontId="5" fillId="2" borderId="0" xfId="0" applyNumberFormat="1" applyFont="1" applyFill="1"/>
  </cellXfs>
  <cellStyles count="3">
    <cellStyle name="Normalny" xfId="0" builtinId="0"/>
    <cellStyle name="Normalny 3" xfId="1"/>
    <cellStyle name="Normalny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9"/>
  <sheetViews>
    <sheetView tabSelected="1" view="pageBreakPreview" zoomScaleNormal="100" zoomScaleSheetLayoutView="100" workbookViewId="0">
      <selection activeCell="C3" sqref="C3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15.140625" style="4" customWidth="1"/>
    <col min="11" max="11" width="12.85546875" style="4" customWidth="1"/>
    <col min="12" max="12" width="11.28515625" style="4" customWidth="1"/>
    <col min="13" max="13" width="11" style="4" customWidth="1"/>
    <col min="14" max="14" width="12.5703125" style="4" customWidth="1"/>
    <col min="15" max="15" width="12.28515625" style="4" customWidth="1"/>
    <col min="16" max="16" width="23.42578125" style="6" customWidth="1"/>
    <col min="17" max="16384" width="9.140625" style="1"/>
  </cols>
  <sheetData>
    <row r="1" spans="1:16">
      <c r="I1" s="3"/>
      <c r="O1" s="5" t="s">
        <v>135</v>
      </c>
    </row>
    <row r="2" spans="1:16">
      <c r="I2" s="7"/>
      <c r="O2" s="8"/>
    </row>
    <row r="3" spans="1:16">
      <c r="I3" s="7"/>
      <c r="O3" s="8"/>
    </row>
    <row r="4" spans="1:16">
      <c r="I4" s="9"/>
      <c r="O4" s="8"/>
    </row>
    <row r="5" spans="1:16" s="11" customFormat="1">
      <c r="A5" s="10" t="s">
        <v>140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s="11" customFormat="1">
      <c r="C6" s="12"/>
      <c r="P6" s="13"/>
    </row>
    <row r="7" spans="1:16" s="11" customFormat="1">
      <c r="C7" s="12"/>
      <c r="P7" s="6" t="s">
        <v>84</v>
      </c>
    </row>
    <row r="8" spans="1:16" s="16" customFormat="1" ht="18.75" customHeight="1">
      <c r="A8" s="14" t="s">
        <v>85</v>
      </c>
      <c r="B8" s="14" t="s">
        <v>0</v>
      </c>
      <c r="C8" s="14" t="s">
        <v>88</v>
      </c>
      <c r="D8" s="14" t="s">
        <v>86</v>
      </c>
      <c r="E8" s="15" t="s">
        <v>1</v>
      </c>
      <c r="F8" s="15"/>
      <c r="G8" s="15"/>
      <c r="H8" s="15"/>
      <c r="I8" s="15"/>
      <c r="J8" s="14" t="s">
        <v>136</v>
      </c>
      <c r="K8" s="15" t="s">
        <v>138</v>
      </c>
      <c r="L8" s="15"/>
      <c r="M8" s="15"/>
      <c r="N8" s="15"/>
      <c r="O8" s="15"/>
      <c r="P8" s="15" t="s">
        <v>4</v>
      </c>
    </row>
    <row r="9" spans="1:16" s="16" customFormat="1" ht="18.75" customHeight="1">
      <c r="A9" s="17"/>
      <c r="B9" s="17"/>
      <c r="C9" s="17"/>
      <c r="D9" s="17"/>
      <c r="E9" s="17" t="s">
        <v>87</v>
      </c>
      <c r="F9" s="15" t="s">
        <v>2</v>
      </c>
      <c r="G9" s="15"/>
      <c r="H9" s="15"/>
      <c r="I9" s="15"/>
      <c r="J9" s="17"/>
      <c r="K9" s="17" t="s">
        <v>137</v>
      </c>
      <c r="L9" s="15" t="s">
        <v>2</v>
      </c>
      <c r="M9" s="15"/>
      <c r="N9" s="15"/>
      <c r="O9" s="15"/>
      <c r="P9" s="15"/>
    </row>
    <row r="10" spans="1:16" s="16" customFormat="1" ht="60" customHeight="1">
      <c r="A10" s="18"/>
      <c r="B10" s="18"/>
      <c r="C10" s="18"/>
      <c r="D10" s="18"/>
      <c r="E10" s="18"/>
      <c r="F10" s="19" t="s">
        <v>8</v>
      </c>
      <c r="G10" s="19" t="s">
        <v>14</v>
      </c>
      <c r="H10" s="19" t="s">
        <v>3</v>
      </c>
      <c r="I10" s="19" t="s">
        <v>7</v>
      </c>
      <c r="J10" s="18"/>
      <c r="K10" s="18"/>
      <c r="L10" s="19" t="s">
        <v>8</v>
      </c>
      <c r="M10" s="19" t="s">
        <v>14</v>
      </c>
      <c r="N10" s="19" t="s">
        <v>3</v>
      </c>
      <c r="O10" s="19" t="s">
        <v>7</v>
      </c>
      <c r="P10" s="15"/>
    </row>
    <row r="11" spans="1:16" s="16" customFormat="1" ht="6.75" customHeight="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20">
        <v>11</v>
      </c>
      <c r="L11" s="20">
        <v>12</v>
      </c>
      <c r="M11" s="20">
        <v>13</v>
      </c>
      <c r="N11" s="20">
        <v>14</v>
      </c>
      <c r="O11" s="20">
        <v>15</v>
      </c>
      <c r="P11" s="20">
        <v>16</v>
      </c>
    </row>
    <row r="12" spans="1:16" s="25" customFormat="1" ht="14.25" customHeight="1">
      <c r="A12" s="21" t="s">
        <v>5</v>
      </c>
      <c r="B12" s="21"/>
      <c r="C12" s="22" t="s">
        <v>9</v>
      </c>
      <c r="D12" s="23">
        <f t="shared" ref="D12:O12" si="0">SUM(D13+D19+D27+D25+D29)</f>
        <v>94569000</v>
      </c>
      <c r="E12" s="23">
        <f t="shared" si="0"/>
        <v>1187500</v>
      </c>
      <c r="F12" s="23">
        <f t="shared" si="0"/>
        <v>387500</v>
      </c>
      <c r="G12" s="23">
        <f t="shared" si="0"/>
        <v>800000</v>
      </c>
      <c r="H12" s="23">
        <f t="shared" si="0"/>
        <v>0</v>
      </c>
      <c r="I12" s="23">
        <f t="shared" si="0"/>
        <v>0</v>
      </c>
      <c r="J12" s="23">
        <f t="shared" si="0"/>
        <v>6539670</v>
      </c>
      <c r="K12" s="23">
        <f t="shared" si="0"/>
        <v>229188</v>
      </c>
      <c r="L12" s="23">
        <f t="shared" si="0"/>
        <v>10750</v>
      </c>
      <c r="M12" s="23">
        <f t="shared" si="0"/>
        <v>218438</v>
      </c>
      <c r="N12" s="23">
        <f t="shared" si="0"/>
        <v>0</v>
      </c>
      <c r="O12" s="23">
        <f t="shared" si="0"/>
        <v>0</v>
      </c>
      <c r="P12" s="24"/>
    </row>
    <row r="13" spans="1:16" s="31" customFormat="1" ht="15.75" customHeight="1">
      <c r="A13" s="26"/>
      <c r="B13" s="27" t="s">
        <v>12</v>
      </c>
      <c r="C13" s="28" t="s">
        <v>63</v>
      </c>
      <c r="D13" s="29">
        <f>SUM(D14:D15)</f>
        <v>0</v>
      </c>
      <c r="E13" s="29">
        <f>SUM(E14:E18)</f>
        <v>307500</v>
      </c>
      <c r="F13" s="29">
        <f>SUM(F14:F18)</f>
        <v>307500</v>
      </c>
      <c r="G13" s="29">
        <f>SUM(G14:G18)</f>
        <v>0</v>
      </c>
      <c r="H13" s="29">
        <f>SUM(H14:H18)</f>
        <v>0</v>
      </c>
      <c r="I13" s="29">
        <f>SUM(I14:I18)</f>
        <v>0</v>
      </c>
      <c r="J13" s="29">
        <f>SUM(J14:J15)</f>
        <v>0</v>
      </c>
      <c r="K13" s="29">
        <f>SUM(K14:K18)</f>
        <v>10750</v>
      </c>
      <c r="L13" s="29">
        <f>SUM(L14:L18)</f>
        <v>10750</v>
      </c>
      <c r="M13" s="29">
        <f>SUM(M14:M18)</f>
        <v>0</v>
      </c>
      <c r="N13" s="29">
        <f>SUM(N14:N18)</f>
        <v>0</v>
      </c>
      <c r="O13" s="29">
        <f>SUM(O14:O18)</f>
        <v>0</v>
      </c>
      <c r="P13" s="30"/>
    </row>
    <row r="14" spans="1:16" s="37" customFormat="1" ht="39" customHeight="1">
      <c r="A14" s="32"/>
      <c r="B14" s="33"/>
      <c r="C14" s="34" t="s">
        <v>89</v>
      </c>
      <c r="D14" s="35">
        <v>0</v>
      </c>
      <c r="E14" s="35">
        <f t="shared" ref="E14:E18" si="1">SUM(F14:I14)</f>
        <v>200000</v>
      </c>
      <c r="F14" s="35">
        <v>200000</v>
      </c>
      <c r="G14" s="35">
        <v>0</v>
      </c>
      <c r="H14" s="35">
        <v>0</v>
      </c>
      <c r="I14" s="35">
        <v>0</v>
      </c>
      <c r="J14" s="35">
        <v>0</v>
      </c>
      <c r="K14" s="35">
        <f t="shared" ref="K14:K18" si="2">SUM(L14:O14)</f>
        <v>750</v>
      </c>
      <c r="L14" s="35">
        <v>750</v>
      </c>
      <c r="M14" s="35">
        <v>0</v>
      </c>
      <c r="N14" s="35">
        <v>0</v>
      </c>
      <c r="O14" s="35">
        <v>0</v>
      </c>
      <c r="P14" s="36" t="s">
        <v>11</v>
      </c>
    </row>
    <row r="15" spans="1:16" s="37" customFormat="1" ht="27.75" customHeight="1">
      <c r="A15" s="32"/>
      <c r="B15" s="33"/>
      <c r="C15" s="38" t="s">
        <v>90</v>
      </c>
      <c r="D15" s="39">
        <v>0</v>
      </c>
      <c r="E15" s="39">
        <f t="shared" si="1"/>
        <v>7500</v>
      </c>
      <c r="F15" s="39">
        <v>7500</v>
      </c>
      <c r="G15" s="39">
        <v>0</v>
      </c>
      <c r="H15" s="39">
        <v>0</v>
      </c>
      <c r="I15" s="39">
        <v>0</v>
      </c>
      <c r="J15" s="39">
        <v>0</v>
      </c>
      <c r="K15" s="39">
        <f t="shared" si="2"/>
        <v>0</v>
      </c>
      <c r="L15" s="39">
        <v>0</v>
      </c>
      <c r="M15" s="39">
        <v>0</v>
      </c>
      <c r="N15" s="39">
        <v>0</v>
      </c>
      <c r="O15" s="39">
        <v>0</v>
      </c>
      <c r="P15" s="40"/>
    </row>
    <row r="16" spans="1:16" s="37" customFormat="1" ht="14.25" customHeight="1">
      <c r="A16" s="32"/>
      <c r="B16" s="33"/>
      <c r="C16" s="41" t="s">
        <v>92</v>
      </c>
      <c r="D16" s="42">
        <v>0</v>
      </c>
      <c r="E16" s="42">
        <f t="shared" si="1"/>
        <v>50000</v>
      </c>
      <c r="F16" s="42">
        <v>50000</v>
      </c>
      <c r="G16" s="42">
        <v>0</v>
      </c>
      <c r="H16" s="42">
        <v>0</v>
      </c>
      <c r="I16" s="42">
        <v>0</v>
      </c>
      <c r="J16" s="42">
        <v>0</v>
      </c>
      <c r="K16" s="42">
        <f t="shared" si="2"/>
        <v>0</v>
      </c>
      <c r="L16" s="42">
        <v>0</v>
      </c>
      <c r="M16" s="42">
        <v>0</v>
      </c>
      <c r="N16" s="42">
        <v>0</v>
      </c>
      <c r="O16" s="42">
        <v>0</v>
      </c>
      <c r="P16" s="40" t="s">
        <v>13</v>
      </c>
    </row>
    <row r="17" spans="1:16" s="47" customFormat="1" ht="14.25" customHeight="1">
      <c r="A17" s="43"/>
      <c r="B17" s="44"/>
      <c r="C17" s="45" t="s">
        <v>93</v>
      </c>
      <c r="D17" s="46">
        <v>0</v>
      </c>
      <c r="E17" s="46">
        <f t="shared" si="1"/>
        <v>40000</v>
      </c>
      <c r="F17" s="46">
        <v>40000</v>
      </c>
      <c r="G17" s="46">
        <v>0</v>
      </c>
      <c r="H17" s="46">
        <v>0</v>
      </c>
      <c r="I17" s="46">
        <v>0</v>
      </c>
      <c r="J17" s="46">
        <v>0</v>
      </c>
      <c r="K17" s="46">
        <f t="shared" si="2"/>
        <v>0</v>
      </c>
      <c r="L17" s="46">
        <v>0</v>
      </c>
      <c r="M17" s="46">
        <v>0</v>
      </c>
      <c r="N17" s="46">
        <v>0</v>
      </c>
      <c r="O17" s="46">
        <v>0</v>
      </c>
      <c r="P17" s="40"/>
    </row>
    <row r="18" spans="1:16" s="47" customFormat="1" ht="25.5" customHeight="1">
      <c r="A18" s="43"/>
      <c r="B18" s="44"/>
      <c r="C18" s="48" t="s">
        <v>94</v>
      </c>
      <c r="D18" s="49">
        <v>0</v>
      </c>
      <c r="E18" s="49">
        <f t="shared" si="1"/>
        <v>10000</v>
      </c>
      <c r="F18" s="49">
        <v>10000</v>
      </c>
      <c r="G18" s="49">
        <v>0</v>
      </c>
      <c r="H18" s="49">
        <v>0</v>
      </c>
      <c r="I18" s="49">
        <v>0</v>
      </c>
      <c r="J18" s="49">
        <v>0</v>
      </c>
      <c r="K18" s="49">
        <f t="shared" si="2"/>
        <v>10000</v>
      </c>
      <c r="L18" s="49">
        <v>10000</v>
      </c>
      <c r="M18" s="49">
        <v>0</v>
      </c>
      <c r="N18" s="49">
        <v>0</v>
      </c>
      <c r="O18" s="49">
        <v>0</v>
      </c>
      <c r="P18" s="50"/>
    </row>
    <row r="19" spans="1:16" s="56" customFormat="1" ht="15.75" customHeight="1">
      <c r="A19" s="51"/>
      <c r="B19" s="52" t="s">
        <v>6</v>
      </c>
      <c r="C19" s="53" t="s">
        <v>64</v>
      </c>
      <c r="D19" s="54">
        <f t="shared" ref="D19:I19" si="3">SUM(D20:D24)</f>
        <v>94376000</v>
      </c>
      <c r="E19" s="54">
        <f t="shared" si="3"/>
        <v>800000</v>
      </c>
      <c r="F19" s="54">
        <f t="shared" si="3"/>
        <v>0</v>
      </c>
      <c r="G19" s="54">
        <f t="shared" si="3"/>
        <v>800000</v>
      </c>
      <c r="H19" s="54">
        <f t="shared" si="3"/>
        <v>0</v>
      </c>
      <c r="I19" s="54">
        <f t="shared" si="3"/>
        <v>0</v>
      </c>
      <c r="J19" s="54">
        <f t="shared" ref="J19:O19" si="4">SUM(J20:J24)</f>
        <v>6539670</v>
      </c>
      <c r="K19" s="54">
        <f t="shared" si="4"/>
        <v>218438</v>
      </c>
      <c r="L19" s="54">
        <f t="shared" si="4"/>
        <v>0</v>
      </c>
      <c r="M19" s="54">
        <f t="shared" si="4"/>
        <v>218438</v>
      </c>
      <c r="N19" s="54">
        <f t="shared" si="4"/>
        <v>0</v>
      </c>
      <c r="O19" s="54">
        <f t="shared" si="4"/>
        <v>0</v>
      </c>
      <c r="P19" s="55"/>
    </row>
    <row r="20" spans="1:16" s="62" customFormat="1" ht="18.75" customHeight="1">
      <c r="A20" s="57"/>
      <c r="B20" s="58"/>
      <c r="C20" s="59" t="s">
        <v>15</v>
      </c>
      <c r="D20" s="60">
        <v>0</v>
      </c>
      <c r="E20" s="60">
        <f>SUM(F20:I20)</f>
        <v>400000</v>
      </c>
      <c r="F20" s="60">
        <v>0</v>
      </c>
      <c r="G20" s="60">
        <v>400000</v>
      </c>
      <c r="H20" s="60">
        <v>0</v>
      </c>
      <c r="I20" s="60">
        <v>0</v>
      </c>
      <c r="J20" s="60">
        <v>0</v>
      </c>
      <c r="K20" s="60">
        <f>SUM(L20:O20)</f>
        <v>67819</v>
      </c>
      <c r="L20" s="60">
        <v>0</v>
      </c>
      <c r="M20" s="60">
        <v>67819</v>
      </c>
      <c r="N20" s="60">
        <v>0</v>
      </c>
      <c r="O20" s="60">
        <v>0</v>
      </c>
      <c r="P20" s="61" t="s">
        <v>11</v>
      </c>
    </row>
    <row r="21" spans="1:16" s="64" customFormat="1" ht="18.75" customHeight="1">
      <c r="A21" s="32"/>
      <c r="B21" s="32"/>
      <c r="C21" s="45" t="s">
        <v>16</v>
      </c>
      <c r="D21" s="46">
        <v>18750000</v>
      </c>
      <c r="E21" s="46">
        <f>SUM(F21:I21)</f>
        <v>0</v>
      </c>
      <c r="F21" s="46">
        <v>0</v>
      </c>
      <c r="G21" s="46">
        <v>0</v>
      </c>
      <c r="H21" s="46">
        <v>0</v>
      </c>
      <c r="I21" s="46">
        <v>0</v>
      </c>
      <c r="J21" s="46">
        <v>3212480</v>
      </c>
      <c r="K21" s="46">
        <f>SUM(L21:O21)</f>
        <v>0</v>
      </c>
      <c r="L21" s="46">
        <v>0</v>
      </c>
      <c r="M21" s="46">
        <v>0</v>
      </c>
      <c r="N21" s="46">
        <v>0</v>
      </c>
      <c r="O21" s="46">
        <v>0</v>
      </c>
      <c r="P21" s="63"/>
    </row>
    <row r="22" spans="1:16" ht="27" customHeight="1">
      <c r="A22" s="57"/>
      <c r="B22" s="65"/>
      <c r="C22" s="66" t="s">
        <v>99</v>
      </c>
      <c r="D22" s="67">
        <v>55000000</v>
      </c>
      <c r="E22" s="67">
        <f>SUM(F22:I22)</f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f>SUM(L22:O22)</f>
        <v>0</v>
      </c>
      <c r="L22" s="67">
        <v>0</v>
      </c>
      <c r="M22" s="67">
        <v>0</v>
      </c>
      <c r="N22" s="67">
        <v>0</v>
      </c>
      <c r="O22" s="67">
        <v>0</v>
      </c>
      <c r="P22" s="68" t="s">
        <v>13</v>
      </c>
    </row>
    <row r="23" spans="1:16" s="70" customFormat="1" ht="18.75" customHeight="1">
      <c r="A23" s="69"/>
      <c r="B23" s="69"/>
      <c r="C23" s="45" t="s">
        <v>15</v>
      </c>
      <c r="D23" s="46">
        <v>0</v>
      </c>
      <c r="E23" s="46">
        <f>SUM(F23:I23)</f>
        <v>400000</v>
      </c>
      <c r="F23" s="46">
        <v>0</v>
      </c>
      <c r="G23" s="46">
        <v>400000</v>
      </c>
      <c r="H23" s="46">
        <v>0</v>
      </c>
      <c r="I23" s="46">
        <v>0</v>
      </c>
      <c r="J23" s="46">
        <v>0</v>
      </c>
      <c r="K23" s="46">
        <f>SUM(L23:O23)</f>
        <v>150619</v>
      </c>
      <c r="L23" s="46">
        <v>0</v>
      </c>
      <c r="M23" s="46">
        <v>150619</v>
      </c>
      <c r="N23" s="46">
        <v>0</v>
      </c>
      <c r="O23" s="46">
        <v>0</v>
      </c>
      <c r="P23" s="68"/>
    </row>
    <row r="24" spans="1:16" s="64" customFormat="1" ht="18.75" customHeight="1">
      <c r="A24" s="71"/>
      <c r="B24" s="72"/>
      <c r="C24" s="73" t="s">
        <v>16</v>
      </c>
      <c r="D24" s="74">
        <v>20626000</v>
      </c>
      <c r="E24" s="74">
        <f>SUM(F24:I24)</f>
        <v>0</v>
      </c>
      <c r="F24" s="74">
        <v>0</v>
      </c>
      <c r="G24" s="74">
        <v>0</v>
      </c>
      <c r="H24" s="74">
        <v>0</v>
      </c>
      <c r="I24" s="74">
        <v>0</v>
      </c>
      <c r="J24" s="74">
        <v>3327190</v>
      </c>
      <c r="K24" s="74">
        <f>SUM(L24:O24)</f>
        <v>0</v>
      </c>
      <c r="L24" s="74">
        <v>0</v>
      </c>
      <c r="M24" s="74">
        <v>0</v>
      </c>
      <c r="N24" s="74">
        <v>0</v>
      </c>
      <c r="O24" s="74">
        <v>0</v>
      </c>
      <c r="P24" s="75"/>
    </row>
    <row r="25" spans="1:16" s="56" customFormat="1" ht="15.75" customHeight="1">
      <c r="A25" s="76"/>
      <c r="B25" s="77" t="s">
        <v>19</v>
      </c>
      <c r="C25" s="78" t="s">
        <v>91</v>
      </c>
      <c r="D25" s="79">
        <f t="shared" ref="D25:O25" si="5">SUM(D26:D26)</f>
        <v>193000</v>
      </c>
      <c r="E25" s="79">
        <f t="shared" si="5"/>
        <v>0</v>
      </c>
      <c r="F25" s="79">
        <f t="shared" si="5"/>
        <v>0</v>
      </c>
      <c r="G25" s="79">
        <f t="shared" si="5"/>
        <v>0</v>
      </c>
      <c r="H25" s="79">
        <f t="shared" si="5"/>
        <v>0</v>
      </c>
      <c r="I25" s="79">
        <f t="shared" si="5"/>
        <v>0</v>
      </c>
      <c r="J25" s="79">
        <f t="shared" si="5"/>
        <v>0</v>
      </c>
      <c r="K25" s="79">
        <f t="shared" si="5"/>
        <v>0</v>
      </c>
      <c r="L25" s="79">
        <f t="shared" si="5"/>
        <v>0</v>
      </c>
      <c r="M25" s="79">
        <f t="shared" si="5"/>
        <v>0</v>
      </c>
      <c r="N25" s="79">
        <f t="shared" si="5"/>
        <v>0</v>
      </c>
      <c r="O25" s="79">
        <f t="shared" si="5"/>
        <v>0</v>
      </c>
      <c r="P25" s="80"/>
    </row>
    <row r="26" spans="1:16" ht="38.25" customHeight="1">
      <c r="A26" s="81"/>
      <c r="B26" s="82"/>
      <c r="C26" s="83" t="s">
        <v>20</v>
      </c>
      <c r="D26" s="84">
        <v>193000</v>
      </c>
      <c r="E26" s="85">
        <f>SUM(F26:I26)</f>
        <v>0</v>
      </c>
      <c r="F26" s="85">
        <v>0</v>
      </c>
      <c r="G26" s="85">
        <v>0</v>
      </c>
      <c r="H26" s="85">
        <v>0</v>
      </c>
      <c r="I26" s="85">
        <v>0</v>
      </c>
      <c r="J26" s="84">
        <v>0</v>
      </c>
      <c r="K26" s="85">
        <f>SUM(L26:O26)</f>
        <v>0</v>
      </c>
      <c r="L26" s="85">
        <v>0</v>
      </c>
      <c r="M26" s="85">
        <v>0</v>
      </c>
      <c r="N26" s="85">
        <v>0</v>
      </c>
      <c r="O26" s="85">
        <v>0</v>
      </c>
      <c r="P26" s="86" t="s">
        <v>18</v>
      </c>
    </row>
    <row r="27" spans="1:16" s="56" customFormat="1" ht="15.75" customHeight="1">
      <c r="A27" s="76"/>
      <c r="B27" s="77" t="s">
        <v>82</v>
      </c>
      <c r="C27" s="78" t="s">
        <v>83</v>
      </c>
      <c r="D27" s="79">
        <f t="shared" ref="D27:O29" si="6">D28</f>
        <v>0</v>
      </c>
      <c r="E27" s="79">
        <f t="shared" si="6"/>
        <v>20000</v>
      </c>
      <c r="F27" s="79">
        <f t="shared" si="6"/>
        <v>20000</v>
      </c>
      <c r="G27" s="79">
        <f t="shared" si="6"/>
        <v>0</v>
      </c>
      <c r="H27" s="79">
        <f t="shared" si="6"/>
        <v>0</v>
      </c>
      <c r="I27" s="79">
        <f t="shared" si="6"/>
        <v>0</v>
      </c>
      <c r="J27" s="79">
        <f t="shared" si="6"/>
        <v>0</v>
      </c>
      <c r="K27" s="79">
        <f t="shared" si="6"/>
        <v>0</v>
      </c>
      <c r="L27" s="79">
        <f t="shared" si="6"/>
        <v>0</v>
      </c>
      <c r="M27" s="79">
        <f t="shared" si="6"/>
        <v>0</v>
      </c>
      <c r="N27" s="79">
        <f t="shared" si="6"/>
        <v>0</v>
      </c>
      <c r="O27" s="79">
        <f t="shared" si="6"/>
        <v>0</v>
      </c>
      <c r="P27" s="80"/>
    </row>
    <row r="28" spans="1:16" ht="14.25" customHeight="1">
      <c r="A28" s="81"/>
      <c r="B28" s="87"/>
      <c r="C28" s="88" t="s">
        <v>17</v>
      </c>
      <c r="D28" s="89">
        <v>0</v>
      </c>
      <c r="E28" s="90">
        <f>SUM(F28:I28)</f>
        <v>20000</v>
      </c>
      <c r="F28" s="89">
        <v>20000</v>
      </c>
      <c r="G28" s="89">
        <v>0</v>
      </c>
      <c r="H28" s="89">
        <v>0</v>
      </c>
      <c r="I28" s="89">
        <v>0</v>
      </c>
      <c r="J28" s="89">
        <v>0</v>
      </c>
      <c r="K28" s="90">
        <f>SUM(L28:O28)</f>
        <v>0</v>
      </c>
      <c r="L28" s="89"/>
      <c r="M28" s="89">
        <v>0</v>
      </c>
      <c r="N28" s="89">
        <v>0</v>
      </c>
      <c r="O28" s="89">
        <v>0</v>
      </c>
      <c r="P28" s="91" t="s">
        <v>18</v>
      </c>
    </row>
    <row r="29" spans="1:16" s="56" customFormat="1" ht="15.75" customHeight="1">
      <c r="A29" s="76"/>
      <c r="B29" s="77" t="s">
        <v>131</v>
      </c>
      <c r="C29" s="78" t="s">
        <v>71</v>
      </c>
      <c r="D29" s="79">
        <f t="shared" si="6"/>
        <v>0</v>
      </c>
      <c r="E29" s="79">
        <f t="shared" si="6"/>
        <v>60000</v>
      </c>
      <c r="F29" s="79">
        <f t="shared" si="6"/>
        <v>60000</v>
      </c>
      <c r="G29" s="79">
        <f t="shared" si="6"/>
        <v>0</v>
      </c>
      <c r="H29" s="79">
        <f t="shared" si="6"/>
        <v>0</v>
      </c>
      <c r="I29" s="79">
        <f t="shared" si="6"/>
        <v>0</v>
      </c>
      <c r="J29" s="79">
        <f t="shared" si="6"/>
        <v>0</v>
      </c>
      <c r="K29" s="79">
        <f t="shared" si="6"/>
        <v>0</v>
      </c>
      <c r="L29" s="79">
        <f t="shared" si="6"/>
        <v>0</v>
      </c>
      <c r="M29" s="79">
        <f t="shared" si="6"/>
        <v>0</v>
      </c>
      <c r="N29" s="79">
        <f t="shared" si="6"/>
        <v>0</v>
      </c>
      <c r="O29" s="79">
        <f t="shared" si="6"/>
        <v>0</v>
      </c>
      <c r="P29" s="80"/>
    </row>
    <row r="30" spans="1:16" ht="44.25" customHeight="1">
      <c r="A30" s="81"/>
      <c r="B30" s="92"/>
      <c r="C30" s="93" t="s">
        <v>132</v>
      </c>
      <c r="D30" s="90">
        <v>0</v>
      </c>
      <c r="E30" s="90">
        <f>SUM(F30:I30)</f>
        <v>60000</v>
      </c>
      <c r="F30" s="90">
        <v>60000</v>
      </c>
      <c r="G30" s="90">
        <v>0</v>
      </c>
      <c r="H30" s="90">
        <v>0</v>
      </c>
      <c r="I30" s="90">
        <v>0</v>
      </c>
      <c r="J30" s="90">
        <v>0</v>
      </c>
      <c r="K30" s="90">
        <f>SUM(L30:O30)</f>
        <v>0</v>
      </c>
      <c r="L30" s="90">
        <v>0</v>
      </c>
      <c r="M30" s="90">
        <v>0</v>
      </c>
      <c r="N30" s="90">
        <v>0</v>
      </c>
      <c r="O30" s="90">
        <v>0</v>
      </c>
      <c r="P30" s="94" t="s">
        <v>11</v>
      </c>
    </row>
    <row r="31" spans="1:16" s="25" customFormat="1" ht="14.25" customHeight="1">
      <c r="A31" s="21" t="s">
        <v>21</v>
      </c>
      <c r="B31" s="21"/>
      <c r="C31" s="22" t="s">
        <v>65</v>
      </c>
      <c r="D31" s="23">
        <f t="shared" ref="D31:O31" si="7">D32</f>
        <v>24000</v>
      </c>
      <c r="E31" s="23">
        <f t="shared" si="7"/>
        <v>0</v>
      </c>
      <c r="F31" s="23">
        <f t="shared" si="7"/>
        <v>0</v>
      </c>
      <c r="G31" s="23">
        <f t="shared" si="7"/>
        <v>0</v>
      </c>
      <c r="H31" s="23">
        <f t="shared" si="7"/>
        <v>0</v>
      </c>
      <c r="I31" s="23">
        <f t="shared" si="7"/>
        <v>0</v>
      </c>
      <c r="J31" s="23">
        <f t="shared" si="7"/>
        <v>0</v>
      </c>
      <c r="K31" s="23">
        <f t="shared" si="7"/>
        <v>0</v>
      </c>
      <c r="L31" s="23">
        <f t="shared" si="7"/>
        <v>0</v>
      </c>
      <c r="M31" s="23">
        <f t="shared" si="7"/>
        <v>0</v>
      </c>
      <c r="N31" s="23">
        <f t="shared" si="7"/>
        <v>0</v>
      </c>
      <c r="O31" s="23">
        <f t="shared" si="7"/>
        <v>0</v>
      </c>
      <c r="P31" s="24"/>
    </row>
    <row r="32" spans="1:16" s="31" customFormat="1" ht="27.75" customHeight="1">
      <c r="A32" s="26"/>
      <c r="B32" s="95" t="s">
        <v>22</v>
      </c>
      <c r="C32" s="96" t="s">
        <v>66</v>
      </c>
      <c r="D32" s="54">
        <f t="shared" ref="D32:O32" si="8">SUM(D33:D33)</f>
        <v>24000</v>
      </c>
      <c r="E32" s="54">
        <f t="shared" si="8"/>
        <v>0</v>
      </c>
      <c r="F32" s="54">
        <f t="shared" si="8"/>
        <v>0</v>
      </c>
      <c r="G32" s="54">
        <f t="shared" si="8"/>
        <v>0</v>
      </c>
      <c r="H32" s="54">
        <f t="shared" si="8"/>
        <v>0</v>
      </c>
      <c r="I32" s="54">
        <f t="shared" si="8"/>
        <v>0</v>
      </c>
      <c r="J32" s="54">
        <f t="shared" si="8"/>
        <v>0</v>
      </c>
      <c r="K32" s="54">
        <f t="shared" si="8"/>
        <v>0</v>
      </c>
      <c r="L32" s="54">
        <f t="shared" si="8"/>
        <v>0</v>
      </c>
      <c r="M32" s="54">
        <f t="shared" si="8"/>
        <v>0</v>
      </c>
      <c r="N32" s="54">
        <f t="shared" si="8"/>
        <v>0</v>
      </c>
      <c r="O32" s="54">
        <f t="shared" si="8"/>
        <v>0</v>
      </c>
      <c r="P32" s="30"/>
    </row>
    <row r="33" spans="1:16" ht="28.5" customHeight="1">
      <c r="A33" s="57"/>
      <c r="B33" s="65"/>
      <c r="C33" s="83" t="s">
        <v>143</v>
      </c>
      <c r="D33" s="84">
        <f>32000-8000</f>
        <v>24000</v>
      </c>
      <c r="E33" s="85">
        <f>SUM(F33:I33)</f>
        <v>0</v>
      </c>
      <c r="F33" s="85">
        <v>0</v>
      </c>
      <c r="G33" s="85">
        <v>0</v>
      </c>
      <c r="H33" s="85">
        <v>0</v>
      </c>
      <c r="I33" s="85">
        <v>0</v>
      </c>
      <c r="J33" s="84">
        <v>0</v>
      </c>
      <c r="K33" s="85">
        <f>SUM(L33:O33)</f>
        <v>0</v>
      </c>
      <c r="L33" s="85">
        <v>0</v>
      </c>
      <c r="M33" s="85">
        <v>0</v>
      </c>
      <c r="N33" s="85">
        <v>0</v>
      </c>
      <c r="O33" s="85">
        <v>0</v>
      </c>
      <c r="P33" s="97" t="s">
        <v>18</v>
      </c>
    </row>
    <row r="34" spans="1:16" s="25" customFormat="1" ht="14.25" customHeight="1">
      <c r="A34" s="21" t="s">
        <v>23</v>
      </c>
      <c r="B34" s="21"/>
      <c r="C34" s="22" t="s">
        <v>67</v>
      </c>
      <c r="D34" s="23">
        <f t="shared" ref="D34:I34" si="9">D35+D39+D73+D71+D75</f>
        <v>400816566</v>
      </c>
      <c r="E34" s="23">
        <f t="shared" si="9"/>
        <v>4905000</v>
      </c>
      <c r="F34" s="23">
        <f t="shared" si="9"/>
        <v>4905000</v>
      </c>
      <c r="G34" s="23">
        <f t="shared" si="9"/>
        <v>0</v>
      </c>
      <c r="H34" s="23">
        <f t="shared" si="9"/>
        <v>0</v>
      </c>
      <c r="I34" s="23">
        <f t="shared" si="9"/>
        <v>0</v>
      </c>
      <c r="J34" s="23">
        <f t="shared" ref="J34:O34" si="10">J35+J39+J73+J71+J75</f>
        <v>12894770</v>
      </c>
      <c r="K34" s="23">
        <f t="shared" si="10"/>
        <v>337290</v>
      </c>
      <c r="L34" s="23">
        <f t="shared" si="10"/>
        <v>337290</v>
      </c>
      <c r="M34" s="23">
        <f t="shared" si="10"/>
        <v>0</v>
      </c>
      <c r="N34" s="23">
        <f t="shared" si="10"/>
        <v>0</v>
      </c>
      <c r="O34" s="23">
        <f t="shared" si="10"/>
        <v>0</v>
      </c>
      <c r="P34" s="24"/>
    </row>
    <row r="35" spans="1:16" s="31" customFormat="1" ht="15.75" customHeight="1">
      <c r="A35" s="26"/>
      <c r="B35" s="52" t="s">
        <v>24</v>
      </c>
      <c r="C35" s="53" t="s">
        <v>68</v>
      </c>
      <c r="D35" s="54">
        <f t="shared" ref="D35:I35" si="11">SUM(D36:D38)</f>
        <v>16364995</v>
      </c>
      <c r="E35" s="54">
        <f t="shared" si="11"/>
        <v>0</v>
      </c>
      <c r="F35" s="54">
        <f t="shared" si="11"/>
        <v>0</v>
      </c>
      <c r="G35" s="54">
        <f t="shared" si="11"/>
        <v>0</v>
      </c>
      <c r="H35" s="54">
        <f t="shared" si="11"/>
        <v>0</v>
      </c>
      <c r="I35" s="54">
        <f t="shared" si="11"/>
        <v>0</v>
      </c>
      <c r="J35" s="54">
        <f t="shared" ref="J35:O35" si="12">SUM(J36:J38)</f>
        <v>1944044</v>
      </c>
      <c r="K35" s="54">
        <f t="shared" si="12"/>
        <v>0</v>
      </c>
      <c r="L35" s="54">
        <f t="shared" si="12"/>
        <v>0</v>
      </c>
      <c r="M35" s="54">
        <f t="shared" si="12"/>
        <v>0</v>
      </c>
      <c r="N35" s="54">
        <f t="shared" si="12"/>
        <v>0</v>
      </c>
      <c r="O35" s="54">
        <f t="shared" si="12"/>
        <v>0</v>
      </c>
      <c r="P35" s="30"/>
    </row>
    <row r="36" spans="1:16" ht="26.25" customHeight="1">
      <c r="A36" s="57"/>
      <c r="B36" s="65"/>
      <c r="C36" s="34" t="s">
        <v>25</v>
      </c>
      <c r="D36" s="35">
        <v>3873249</v>
      </c>
      <c r="E36" s="35">
        <f>SUM(F36:I36)</f>
        <v>0</v>
      </c>
      <c r="F36" s="35">
        <v>0</v>
      </c>
      <c r="G36" s="35">
        <v>0</v>
      </c>
      <c r="H36" s="35">
        <v>0</v>
      </c>
      <c r="I36" s="35">
        <v>0</v>
      </c>
      <c r="J36" s="35">
        <v>1944044</v>
      </c>
      <c r="K36" s="35">
        <f>SUM(L36:O36)</f>
        <v>0</v>
      </c>
      <c r="L36" s="35">
        <v>0</v>
      </c>
      <c r="M36" s="35">
        <v>0</v>
      </c>
      <c r="N36" s="35">
        <v>0</v>
      </c>
      <c r="O36" s="35">
        <v>0</v>
      </c>
      <c r="P36" s="61" t="s">
        <v>18</v>
      </c>
    </row>
    <row r="37" spans="1:16" s="62" customFormat="1" ht="14.25" customHeight="1">
      <c r="A37" s="57"/>
      <c r="B37" s="57"/>
      <c r="C37" s="45" t="s">
        <v>100</v>
      </c>
      <c r="D37" s="46">
        <v>11790000</v>
      </c>
      <c r="E37" s="46">
        <f>SUM(F37:I37)</f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f>SUM(L37:O37)</f>
        <v>0</v>
      </c>
      <c r="L37" s="46">
        <v>0</v>
      </c>
      <c r="M37" s="46">
        <v>0</v>
      </c>
      <c r="N37" s="46">
        <v>0</v>
      </c>
      <c r="O37" s="46">
        <v>0</v>
      </c>
      <c r="P37" s="68"/>
    </row>
    <row r="38" spans="1:16" s="4" customFormat="1" ht="28.5" customHeight="1">
      <c r="A38" s="69"/>
      <c r="B38" s="98"/>
      <c r="C38" s="48" t="s">
        <v>101</v>
      </c>
      <c r="D38" s="49">
        <v>701746</v>
      </c>
      <c r="E38" s="49">
        <f>SUM(F38:I38)</f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f>SUM(L38:O38)</f>
        <v>0</v>
      </c>
      <c r="L38" s="49">
        <v>0</v>
      </c>
      <c r="M38" s="49">
        <v>0</v>
      </c>
      <c r="N38" s="49">
        <v>0</v>
      </c>
      <c r="O38" s="49">
        <v>0</v>
      </c>
      <c r="P38" s="75"/>
    </row>
    <row r="39" spans="1:16" s="31" customFormat="1" ht="15.75" customHeight="1">
      <c r="A39" s="51"/>
      <c r="B39" s="52" t="s">
        <v>26</v>
      </c>
      <c r="C39" s="53" t="s">
        <v>69</v>
      </c>
      <c r="D39" s="54">
        <f>SUM(D40:D70)</f>
        <v>335877258</v>
      </c>
      <c r="E39" s="54">
        <f t="shared" ref="E39:I39" si="13">SUM(E40:E70)</f>
        <v>4905000</v>
      </c>
      <c r="F39" s="54">
        <f>SUM(F40:F70)</f>
        <v>4905000</v>
      </c>
      <c r="G39" s="54">
        <f t="shared" si="13"/>
        <v>0</v>
      </c>
      <c r="H39" s="54">
        <f t="shared" si="13"/>
        <v>0</v>
      </c>
      <c r="I39" s="54">
        <f t="shared" si="13"/>
        <v>0</v>
      </c>
      <c r="J39" s="54">
        <f>SUM(J40:J70)</f>
        <v>10950726</v>
      </c>
      <c r="K39" s="54">
        <f t="shared" ref="K39" si="14">SUM(K40:K70)</f>
        <v>337290</v>
      </c>
      <c r="L39" s="54">
        <f>SUM(L40:L70)</f>
        <v>337290</v>
      </c>
      <c r="M39" s="54">
        <f t="shared" ref="M39:O39" si="15">SUM(M40:M70)</f>
        <v>0</v>
      </c>
      <c r="N39" s="54">
        <f t="shared" si="15"/>
        <v>0</v>
      </c>
      <c r="O39" s="54">
        <f t="shared" si="15"/>
        <v>0</v>
      </c>
      <c r="P39" s="30"/>
    </row>
    <row r="40" spans="1:16" s="4" customFormat="1" ht="39" customHeight="1">
      <c r="A40" s="69"/>
      <c r="B40" s="99"/>
      <c r="C40" s="34" t="s">
        <v>109</v>
      </c>
      <c r="D40" s="100">
        <v>4000000</v>
      </c>
      <c r="E40" s="101">
        <f t="shared" ref="E40:E42" si="16">SUM(F40:I40)</f>
        <v>0</v>
      </c>
      <c r="F40" s="100">
        <v>0</v>
      </c>
      <c r="G40" s="100">
        <v>0</v>
      </c>
      <c r="H40" s="100">
        <v>0</v>
      </c>
      <c r="I40" s="100">
        <v>0</v>
      </c>
      <c r="J40" s="100">
        <v>51893</v>
      </c>
      <c r="K40" s="101">
        <f t="shared" ref="K40:K42" si="17">SUM(L40:O40)</f>
        <v>0</v>
      </c>
      <c r="L40" s="100">
        <v>0</v>
      </c>
      <c r="M40" s="100">
        <v>0</v>
      </c>
      <c r="N40" s="100">
        <v>0</v>
      </c>
      <c r="O40" s="100">
        <v>0</v>
      </c>
      <c r="P40" s="61" t="s">
        <v>27</v>
      </c>
    </row>
    <row r="41" spans="1:16" s="4" customFormat="1" ht="27" customHeight="1">
      <c r="A41" s="102"/>
      <c r="B41" s="98"/>
      <c r="C41" s="103" t="s">
        <v>110</v>
      </c>
      <c r="D41" s="104">
        <v>2000000</v>
      </c>
      <c r="E41" s="105">
        <f t="shared" si="16"/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5">
        <f t="shared" si="17"/>
        <v>0</v>
      </c>
      <c r="L41" s="104">
        <v>0</v>
      </c>
      <c r="M41" s="104">
        <v>0</v>
      </c>
      <c r="N41" s="104">
        <v>0</v>
      </c>
      <c r="O41" s="104">
        <v>0</v>
      </c>
      <c r="P41" s="75"/>
    </row>
    <row r="42" spans="1:16" s="4" customFormat="1" ht="41.25" customHeight="1">
      <c r="A42" s="106"/>
      <c r="B42" s="107"/>
      <c r="C42" s="108" t="s">
        <v>111</v>
      </c>
      <c r="D42" s="100">
        <v>3000000</v>
      </c>
      <c r="E42" s="100">
        <f t="shared" si="16"/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f t="shared" si="17"/>
        <v>0</v>
      </c>
      <c r="L42" s="100">
        <v>0</v>
      </c>
      <c r="M42" s="100">
        <v>0</v>
      </c>
      <c r="N42" s="100">
        <v>0</v>
      </c>
      <c r="O42" s="100">
        <v>0</v>
      </c>
      <c r="P42" s="109" t="s">
        <v>27</v>
      </c>
    </row>
    <row r="43" spans="1:16" s="4" customFormat="1" ht="91.5" customHeight="1">
      <c r="A43" s="110"/>
      <c r="B43" s="110"/>
      <c r="C43" s="111" t="s">
        <v>112</v>
      </c>
      <c r="D43" s="101">
        <v>0</v>
      </c>
      <c r="E43" s="101">
        <f>SUM(F43:I43)</f>
        <v>3950000</v>
      </c>
      <c r="F43" s="67">
        <f>4350000-400000</f>
        <v>3950000</v>
      </c>
      <c r="G43" s="101">
        <v>0</v>
      </c>
      <c r="H43" s="101">
        <v>0</v>
      </c>
      <c r="I43" s="101">
        <v>0</v>
      </c>
      <c r="J43" s="101">
        <v>0</v>
      </c>
      <c r="K43" s="101">
        <f>SUM(L43:O43)</f>
        <v>0</v>
      </c>
      <c r="L43" s="67"/>
      <c r="M43" s="101">
        <v>0</v>
      </c>
      <c r="N43" s="101">
        <v>0</v>
      </c>
      <c r="O43" s="101">
        <v>0</v>
      </c>
      <c r="P43" s="112"/>
    </row>
    <row r="44" spans="1:16" s="4" customFormat="1" ht="25.5">
      <c r="A44" s="110"/>
      <c r="B44" s="110"/>
      <c r="C44" s="113" t="s">
        <v>125</v>
      </c>
      <c r="D44" s="67">
        <v>0</v>
      </c>
      <c r="E44" s="101">
        <f t="shared" ref="E44:E70" si="18">SUM(F44:I44)</f>
        <v>400000</v>
      </c>
      <c r="F44" s="67">
        <v>400000</v>
      </c>
      <c r="G44" s="67"/>
      <c r="H44" s="67"/>
      <c r="I44" s="67"/>
      <c r="J44" s="67">
        <v>0</v>
      </c>
      <c r="K44" s="101">
        <f t="shared" ref="K44:K70" si="19">SUM(L44:O44)</f>
        <v>0</v>
      </c>
      <c r="L44" s="67"/>
      <c r="M44" s="67"/>
      <c r="N44" s="67"/>
      <c r="O44" s="67"/>
      <c r="P44" s="112"/>
    </row>
    <row r="45" spans="1:16" s="70" customFormat="1" ht="14.25" customHeight="1">
      <c r="A45" s="114"/>
      <c r="B45" s="114"/>
      <c r="C45" s="115" t="s">
        <v>113</v>
      </c>
      <c r="D45" s="116">
        <v>320681</v>
      </c>
      <c r="E45" s="101">
        <f t="shared" si="18"/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68880</v>
      </c>
      <c r="K45" s="101">
        <f t="shared" si="19"/>
        <v>0</v>
      </c>
      <c r="L45" s="116">
        <v>0</v>
      </c>
      <c r="M45" s="116">
        <v>0</v>
      </c>
      <c r="N45" s="116">
        <v>0</v>
      </c>
      <c r="O45" s="116">
        <v>0</v>
      </c>
      <c r="P45" s="112"/>
    </row>
    <row r="46" spans="1:16" s="4" customFormat="1" ht="27.75" customHeight="1">
      <c r="A46" s="110"/>
      <c r="B46" s="110"/>
      <c r="C46" s="111" t="s">
        <v>115</v>
      </c>
      <c r="D46" s="101">
        <v>125000</v>
      </c>
      <c r="E46" s="101">
        <f t="shared" si="18"/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f t="shared" si="19"/>
        <v>0</v>
      </c>
      <c r="L46" s="101">
        <v>0</v>
      </c>
      <c r="M46" s="101">
        <v>0</v>
      </c>
      <c r="N46" s="101">
        <v>0</v>
      </c>
      <c r="O46" s="101">
        <v>0</v>
      </c>
      <c r="P46" s="112"/>
    </row>
    <row r="47" spans="1:16" s="4" customFormat="1" ht="26.25" customHeight="1">
      <c r="A47" s="110"/>
      <c r="B47" s="110"/>
      <c r="C47" s="117" t="s">
        <v>133</v>
      </c>
      <c r="D47" s="39">
        <f>100000-100000</f>
        <v>0</v>
      </c>
      <c r="E47" s="67">
        <f t="shared" si="18"/>
        <v>100000</v>
      </c>
      <c r="F47" s="39">
        <v>100000</v>
      </c>
      <c r="G47" s="39">
        <v>0</v>
      </c>
      <c r="H47" s="118">
        <v>0</v>
      </c>
      <c r="I47" s="118">
        <v>0</v>
      </c>
      <c r="J47" s="39">
        <f>100000-100000</f>
        <v>0</v>
      </c>
      <c r="K47" s="67">
        <f t="shared" si="19"/>
        <v>0</v>
      </c>
      <c r="L47" s="39"/>
      <c r="M47" s="39">
        <v>0</v>
      </c>
      <c r="N47" s="118">
        <v>0</v>
      </c>
      <c r="O47" s="118">
        <v>0</v>
      </c>
      <c r="P47" s="112"/>
    </row>
    <row r="48" spans="1:16" s="4" customFormat="1" ht="26.25" customHeight="1">
      <c r="A48" s="110"/>
      <c r="B48" s="110"/>
      <c r="C48" s="111" t="s">
        <v>114</v>
      </c>
      <c r="D48" s="101">
        <v>280000</v>
      </c>
      <c r="E48" s="101">
        <f t="shared" si="18"/>
        <v>0</v>
      </c>
      <c r="F48" s="101">
        <v>0</v>
      </c>
      <c r="G48" s="101">
        <v>0</v>
      </c>
      <c r="H48" s="101">
        <v>0</v>
      </c>
      <c r="I48" s="101">
        <v>0</v>
      </c>
      <c r="J48" s="101">
        <v>0</v>
      </c>
      <c r="K48" s="101">
        <f t="shared" si="19"/>
        <v>0</v>
      </c>
      <c r="L48" s="101">
        <v>0</v>
      </c>
      <c r="M48" s="101">
        <v>0</v>
      </c>
      <c r="N48" s="101">
        <v>0</v>
      </c>
      <c r="O48" s="101">
        <v>0</v>
      </c>
      <c r="P48" s="112"/>
    </row>
    <row r="49" spans="1:16" s="4" customFormat="1" ht="27" customHeight="1">
      <c r="A49" s="110"/>
      <c r="B49" s="110"/>
      <c r="C49" s="119" t="s">
        <v>29</v>
      </c>
      <c r="D49" s="101">
        <f>53991482+70553</f>
        <v>54062035</v>
      </c>
      <c r="E49" s="101">
        <f t="shared" si="18"/>
        <v>0</v>
      </c>
      <c r="F49" s="101">
        <v>0</v>
      </c>
      <c r="G49" s="101">
        <v>0</v>
      </c>
      <c r="H49" s="101">
        <v>0</v>
      </c>
      <c r="I49" s="101">
        <v>0</v>
      </c>
      <c r="J49" s="101">
        <v>282129</v>
      </c>
      <c r="K49" s="101">
        <f t="shared" si="19"/>
        <v>0</v>
      </c>
      <c r="L49" s="101">
        <v>0</v>
      </c>
      <c r="M49" s="101">
        <v>0</v>
      </c>
      <c r="N49" s="101">
        <v>0</v>
      </c>
      <c r="O49" s="101">
        <v>0</v>
      </c>
      <c r="P49" s="112"/>
    </row>
    <row r="50" spans="1:16" s="4" customFormat="1" ht="27" customHeight="1">
      <c r="A50" s="110"/>
      <c r="B50" s="110"/>
      <c r="C50" s="120" t="s">
        <v>30</v>
      </c>
      <c r="D50" s="118">
        <v>14545527</v>
      </c>
      <c r="E50" s="101">
        <f t="shared" si="18"/>
        <v>0</v>
      </c>
      <c r="F50" s="118">
        <v>0</v>
      </c>
      <c r="G50" s="118">
        <v>0</v>
      </c>
      <c r="H50" s="118">
        <v>0</v>
      </c>
      <c r="I50" s="118">
        <v>0</v>
      </c>
      <c r="J50" s="118">
        <v>0</v>
      </c>
      <c r="K50" s="101">
        <f t="shared" si="19"/>
        <v>0</v>
      </c>
      <c r="L50" s="118">
        <v>0</v>
      </c>
      <c r="M50" s="118">
        <v>0</v>
      </c>
      <c r="N50" s="118">
        <v>0</v>
      </c>
      <c r="O50" s="118">
        <v>0</v>
      </c>
      <c r="P50" s="112"/>
    </row>
    <row r="51" spans="1:16" s="4" customFormat="1" ht="27" customHeight="1">
      <c r="A51" s="110"/>
      <c r="B51" s="110"/>
      <c r="C51" s="120" t="s">
        <v>31</v>
      </c>
      <c r="D51" s="118">
        <v>11963996</v>
      </c>
      <c r="E51" s="101">
        <f t="shared" si="18"/>
        <v>0</v>
      </c>
      <c r="F51" s="118">
        <v>0</v>
      </c>
      <c r="G51" s="118">
        <v>0</v>
      </c>
      <c r="H51" s="118">
        <v>0</v>
      </c>
      <c r="I51" s="118">
        <v>0</v>
      </c>
      <c r="J51" s="118">
        <v>0</v>
      </c>
      <c r="K51" s="101">
        <f t="shared" si="19"/>
        <v>0</v>
      </c>
      <c r="L51" s="118">
        <v>0</v>
      </c>
      <c r="M51" s="118">
        <v>0</v>
      </c>
      <c r="N51" s="118">
        <v>0</v>
      </c>
      <c r="O51" s="118">
        <v>0</v>
      </c>
      <c r="P51" s="112"/>
    </row>
    <row r="52" spans="1:16" s="70" customFormat="1" ht="14.25" customHeight="1">
      <c r="A52" s="114"/>
      <c r="B52" s="114"/>
      <c r="C52" s="121" t="s">
        <v>32</v>
      </c>
      <c r="D52" s="116">
        <v>3320440</v>
      </c>
      <c r="E52" s="101">
        <f t="shared" si="18"/>
        <v>0</v>
      </c>
      <c r="F52" s="116">
        <v>0</v>
      </c>
      <c r="G52" s="116">
        <v>0</v>
      </c>
      <c r="H52" s="116">
        <v>0</v>
      </c>
      <c r="I52" s="116">
        <v>0</v>
      </c>
      <c r="J52" s="116">
        <v>0</v>
      </c>
      <c r="K52" s="101">
        <f t="shared" si="19"/>
        <v>0</v>
      </c>
      <c r="L52" s="116">
        <v>0</v>
      </c>
      <c r="M52" s="116">
        <v>0</v>
      </c>
      <c r="N52" s="116">
        <v>0</v>
      </c>
      <c r="O52" s="116">
        <v>0</v>
      </c>
      <c r="P52" s="112"/>
    </row>
    <row r="53" spans="1:16" s="4" customFormat="1" ht="27.75" customHeight="1">
      <c r="A53" s="110"/>
      <c r="B53" s="110"/>
      <c r="C53" s="120" t="s">
        <v>33</v>
      </c>
      <c r="D53" s="118">
        <v>9938644</v>
      </c>
      <c r="E53" s="101">
        <f t="shared" si="18"/>
        <v>0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01">
        <f t="shared" si="19"/>
        <v>0</v>
      </c>
      <c r="L53" s="118">
        <v>0</v>
      </c>
      <c r="M53" s="118">
        <v>0</v>
      </c>
      <c r="N53" s="118">
        <v>0</v>
      </c>
      <c r="O53" s="118">
        <v>0</v>
      </c>
      <c r="P53" s="112"/>
    </row>
    <row r="54" spans="1:16" s="70" customFormat="1" ht="14.25" customHeight="1">
      <c r="A54" s="114"/>
      <c r="B54" s="114"/>
      <c r="C54" s="121" t="s">
        <v>34</v>
      </c>
      <c r="D54" s="116">
        <v>13231840</v>
      </c>
      <c r="E54" s="101">
        <f t="shared" si="18"/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01">
        <f t="shared" si="19"/>
        <v>0</v>
      </c>
      <c r="L54" s="116">
        <v>0</v>
      </c>
      <c r="M54" s="116">
        <v>0</v>
      </c>
      <c r="N54" s="116">
        <v>0</v>
      </c>
      <c r="O54" s="116">
        <v>0</v>
      </c>
      <c r="P54" s="112"/>
    </row>
    <row r="55" spans="1:16" s="70" customFormat="1" ht="25.5">
      <c r="A55" s="114"/>
      <c r="B55" s="114"/>
      <c r="C55" s="122" t="s">
        <v>122</v>
      </c>
      <c r="D55" s="46">
        <f>3126492+639483</f>
        <v>3765975</v>
      </c>
      <c r="E55" s="101">
        <f t="shared" si="18"/>
        <v>0</v>
      </c>
      <c r="F55" s="116">
        <v>0</v>
      </c>
      <c r="G55" s="116">
        <v>0</v>
      </c>
      <c r="H55" s="116">
        <v>0</v>
      </c>
      <c r="I55" s="116">
        <v>0</v>
      </c>
      <c r="J55" s="46">
        <v>1082277</v>
      </c>
      <c r="K55" s="101">
        <f t="shared" si="19"/>
        <v>0</v>
      </c>
      <c r="L55" s="116">
        <v>0</v>
      </c>
      <c r="M55" s="116">
        <v>0</v>
      </c>
      <c r="N55" s="116">
        <v>0</v>
      </c>
      <c r="O55" s="116">
        <v>0</v>
      </c>
      <c r="P55" s="112"/>
    </row>
    <row r="56" spans="1:16" s="4" customFormat="1" ht="27.75" customHeight="1">
      <c r="A56" s="110"/>
      <c r="B56" s="110"/>
      <c r="C56" s="123" t="s">
        <v>123</v>
      </c>
      <c r="D56" s="39">
        <f>5414802+520320-520320</f>
        <v>5414802</v>
      </c>
      <c r="E56" s="101">
        <f t="shared" si="18"/>
        <v>0</v>
      </c>
      <c r="F56" s="118">
        <v>0</v>
      </c>
      <c r="G56" s="118">
        <v>0</v>
      </c>
      <c r="H56" s="118">
        <v>0</v>
      </c>
      <c r="I56" s="118">
        <v>0</v>
      </c>
      <c r="J56" s="39">
        <v>369332</v>
      </c>
      <c r="K56" s="101">
        <f t="shared" si="19"/>
        <v>0</v>
      </c>
      <c r="L56" s="118">
        <v>0</v>
      </c>
      <c r="M56" s="118">
        <v>0</v>
      </c>
      <c r="N56" s="118">
        <v>0</v>
      </c>
      <c r="O56" s="118">
        <v>0</v>
      </c>
      <c r="P56" s="112"/>
    </row>
    <row r="57" spans="1:16" s="4" customFormat="1" ht="27.75" customHeight="1">
      <c r="A57" s="110"/>
      <c r="B57" s="110"/>
      <c r="C57" s="123" t="s">
        <v>35</v>
      </c>
      <c r="D57" s="39">
        <f>13870148+33210</f>
        <v>13903358</v>
      </c>
      <c r="E57" s="118">
        <f t="shared" si="18"/>
        <v>0</v>
      </c>
      <c r="F57" s="118">
        <v>0</v>
      </c>
      <c r="G57" s="118">
        <v>0</v>
      </c>
      <c r="H57" s="118">
        <v>0</v>
      </c>
      <c r="I57" s="118">
        <v>0</v>
      </c>
      <c r="J57" s="39">
        <v>270918</v>
      </c>
      <c r="K57" s="118">
        <f t="shared" si="19"/>
        <v>0</v>
      </c>
      <c r="L57" s="118">
        <v>0</v>
      </c>
      <c r="M57" s="118">
        <v>0</v>
      </c>
      <c r="N57" s="118">
        <v>0</v>
      </c>
      <c r="O57" s="118">
        <v>0</v>
      </c>
      <c r="P57" s="112"/>
    </row>
    <row r="58" spans="1:16" s="4" customFormat="1" ht="27.75" customHeight="1">
      <c r="A58" s="110"/>
      <c r="B58" s="110"/>
      <c r="C58" s="124" t="s">
        <v>36</v>
      </c>
      <c r="D58" s="67">
        <v>18192596</v>
      </c>
      <c r="E58" s="101">
        <f t="shared" si="18"/>
        <v>0</v>
      </c>
      <c r="F58" s="101">
        <v>0</v>
      </c>
      <c r="G58" s="101">
        <v>0</v>
      </c>
      <c r="H58" s="101">
        <v>0</v>
      </c>
      <c r="I58" s="101">
        <v>0</v>
      </c>
      <c r="J58" s="67">
        <v>0</v>
      </c>
      <c r="K58" s="101">
        <f t="shared" si="19"/>
        <v>0</v>
      </c>
      <c r="L58" s="101">
        <v>0</v>
      </c>
      <c r="M58" s="101">
        <v>0</v>
      </c>
      <c r="N58" s="101">
        <v>0</v>
      </c>
      <c r="O58" s="101">
        <v>0</v>
      </c>
      <c r="P58" s="112"/>
    </row>
    <row r="59" spans="1:16" s="4" customFormat="1" ht="27.75" customHeight="1">
      <c r="A59" s="110"/>
      <c r="B59" s="110"/>
      <c r="C59" s="123" t="s">
        <v>37</v>
      </c>
      <c r="D59" s="39">
        <v>16640365</v>
      </c>
      <c r="E59" s="101">
        <f t="shared" si="18"/>
        <v>0</v>
      </c>
      <c r="F59" s="118">
        <v>0</v>
      </c>
      <c r="G59" s="118">
        <v>0</v>
      </c>
      <c r="H59" s="118">
        <v>0</v>
      </c>
      <c r="I59" s="118">
        <v>0</v>
      </c>
      <c r="J59" s="39">
        <v>0</v>
      </c>
      <c r="K59" s="101">
        <f t="shared" si="19"/>
        <v>0</v>
      </c>
      <c r="L59" s="118">
        <v>0</v>
      </c>
      <c r="M59" s="118">
        <v>0</v>
      </c>
      <c r="N59" s="118">
        <v>0</v>
      </c>
      <c r="O59" s="118">
        <v>0</v>
      </c>
      <c r="P59" s="112"/>
    </row>
    <row r="60" spans="1:16" s="4" customFormat="1" ht="27.75" customHeight="1">
      <c r="A60" s="110"/>
      <c r="B60" s="110"/>
      <c r="C60" s="123" t="s">
        <v>38</v>
      </c>
      <c r="D60" s="39">
        <v>13420034</v>
      </c>
      <c r="E60" s="101">
        <f t="shared" si="18"/>
        <v>0</v>
      </c>
      <c r="F60" s="118">
        <v>0</v>
      </c>
      <c r="G60" s="118">
        <v>0</v>
      </c>
      <c r="H60" s="118">
        <v>0</v>
      </c>
      <c r="I60" s="118">
        <v>0</v>
      </c>
      <c r="J60" s="39">
        <v>0</v>
      </c>
      <c r="K60" s="101">
        <f t="shared" si="19"/>
        <v>0</v>
      </c>
      <c r="L60" s="118">
        <v>0</v>
      </c>
      <c r="M60" s="118">
        <v>0</v>
      </c>
      <c r="N60" s="118">
        <v>0</v>
      </c>
      <c r="O60" s="118">
        <v>0</v>
      </c>
      <c r="P60" s="112"/>
    </row>
    <row r="61" spans="1:16" s="4" customFormat="1" ht="27.75" customHeight="1">
      <c r="A61" s="110"/>
      <c r="B61" s="110"/>
      <c r="C61" s="124" t="s">
        <v>39</v>
      </c>
      <c r="D61" s="67">
        <f>8620470+295177+300000+41808+2560+740</f>
        <v>9260755</v>
      </c>
      <c r="E61" s="101">
        <f t="shared" si="18"/>
        <v>0</v>
      </c>
      <c r="F61" s="101">
        <v>0</v>
      </c>
      <c r="G61" s="101">
        <v>0</v>
      </c>
      <c r="H61" s="101">
        <v>0</v>
      </c>
      <c r="I61" s="101">
        <v>0</v>
      </c>
      <c r="J61" s="67">
        <v>3732586</v>
      </c>
      <c r="K61" s="101">
        <f t="shared" si="19"/>
        <v>0</v>
      </c>
      <c r="L61" s="101">
        <v>0</v>
      </c>
      <c r="M61" s="101">
        <v>0</v>
      </c>
      <c r="N61" s="101">
        <v>0</v>
      </c>
      <c r="O61" s="101">
        <v>0</v>
      </c>
      <c r="P61" s="112"/>
    </row>
    <row r="62" spans="1:16" s="4" customFormat="1" ht="40.5" customHeight="1">
      <c r="A62" s="110"/>
      <c r="B62" s="110"/>
      <c r="C62" s="123" t="s">
        <v>40</v>
      </c>
      <c r="D62" s="39">
        <f>15858584+59889+9131</f>
        <v>15927604</v>
      </c>
      <c r="E62" s="101">
        <f t="shared" si="18"/>
        <v>0</v>
      </c>
      <c r="F62" s="118">
        <v>0</v>
      </c>
      <c r="G62" s="118">
        <v>0</v>
      </c>
      <c r="H62" s="118">
        <v>0</v>
      </c>
      <c r="I62" s="118">
        <v>0</v>
      </c>
      <c r="J62" s="39">
        <v>1643603</v>
      </c>
      <c r="K62" s="101">
        <f t="shared" si="19"/>
        <v>0</v>
      </c>
      <c r="L62" s="118">
        <v>0</v>
      </c>
      <c r="M62" s="118">
        <v>0</v>
      </c>
      <c r="N62" s="118">
        <v>0</v>
      </c>
      <c r="O62" s="118">
        <v>0</v>
      </c>
      <c r="P62" s="112"/>
    </row>
    <row r="63" spans="1:16" s="4" customFormat="1" ht="40.5" customHeight="1">
      <c r="A63" s="110"/>
      <c r="B63" s="110"/>
      <c r="C63" s="123" t="s">
        <v>116</v>
      </c>
      <c r="D63" s="39">
        <f>35598724-63757-100000+53537</f>
        <v>35488504</v>
      </c>
      <c r="E63" s="101">
        <f t="shared" si="18"/>
        <v>0</v>
      </c>
      <c r="F63" s="118">
        <v>0</v>
      </c>
      <c r="G63" s="118">
        <v>0</v>
      </c>
      <c r="H63" s="118">
        <v>0</v>
      </c>
      <c r="I63" s="118">
        <v>0</v>
      </c>
      <c r="J63" s="39">
        <v>28086</v>
      </c>
      <c r="K63" s="101">
        <f t="shared" si="19"/>
        <v>0</v>
      </c>
      <c r="L63" s="118">
        <v>0</v>
      </c>
      <c r="M63" s="118">
        <v>0</v>
      </c>
      <c r="N63" s="118">
        <v>0</v>
      </c>
      <c r="O63" s="118">
        <v>0</v>
      </c>
      <c r="P63" s="112"/>
    </row>
    <row r="64" spans="1:16" s="4" customFormat="1" ht="27.75" customHeight="1">
      <c r="A64" s="110"/>
      <c r="B64" s="110"/>
      <c r="C64" s="124" t="s">
        <v>41</v>
      </c>
      <c r="D64" s="67">
        <f>17761290+59889+3172085-1432797</f>
        <v>19560467</v>
      </c>
      <c r="E64" s="101">
        <f t="shared" si="18"/>
        <v>0</v>
      </c>
      <c r="F64" s="101">
        <v>0</v>
      </c>
      <c r="G64" s="101">
        <v>0</v>
      </c>
      <c r="H64" s="101">
        <v>0</v>
      </c>
      <c r="I64" s="101">
        <v>0</v>
      </c>
      <c r="J64" s="67">
        <v>1747811</v>
      </c>
      <c r="K64" s="101">
        <f t="shared" si="19"/>
        <v>0</v>
      </c>
      <c r="L64" s="101">
        <v>0</v>
      </c>
      <c r="M64" s="101">
        <v>0</v>
      </c>
      <c r="N64" s="101">
        <v>0</v>
      </c>
      <c r="O64" s="101">
        <v>0</v>
      </c>
      <c r="P64" s="112"/>
    </row>
    <row r="65" spans="1:16" s="4" customFormat="1" ht="39.75" customHeight="1">
      <c r="A65" s="110"/>
      <c r="B65" s="110"/>
      <c r="C65" s="123" t="s">
        <v>117</v>
      </c>
      <c r="D65" s="39">
        <f>20905866+67689+100000+11670</f>
        <v>21085225</v>
      </c>
      <c r="E65" s="101">
        <f t="shared" si="18"/>
        <v>0</v>
      </c>
      <c r="F65" s="118">
        <v>0</v>
      </c>
      <c r="G65" s="118">
        <v>0</v>
      </c>
      <c r="H65" s="118">
        <v>0</v>
      </c>
      <c r="I65" s="118">
        <v>0</v>
      </c>
      <c r="J65" s="39">
        <v>1178282</v>
      </c>
      <c r="K65" s="101">
        <f t="shared" si="19"/>
        <v>0</v>
      </c>
      <c r="L65" s="118">
        <v>0</v>
      </c>
      <c r="M65" s="118">
        <v>0</v>
      </c>
      <c r="N65" s="118">
        <v>0</v>
      </c>
      <c r="O65" s="118">
        <v>0</v>
      </c>
      <c r="P65" s="112"/>
    </row>
    <row r="66" spans="1:16" s="4" customFormat="1" ht="27" customHeight="1">
      <c r="A66" s="110"/>
      <c r="B66" s="110"/>
      <c r="C66" s="124" t="s">
        <v>42</v>
      </c>
      <c r="D66" s="67">
        <f>42750263-300000-1738888</f>
        <v>40711375</v>
      </c>
      <c r="E66" s="101">
        <f t="shared" si="18"/>
        <v>0</v>
      </c>
      <c r="F66" s="101">
        <v>0</v>
      </c>
      <c r="G66" s="101">
        <v>0</v>
      </c>
      <c r="H66" s="101">
        <v>0</v>
      </c>
      <c r="I66" s="101">
        <v>0</v>
      </c>
      <c r="J66" s="67">
        <v>0</v>
      </c>
      <c r="K66" s="101">
        <f t="shared" si="19"/>
        <v>0</v>
      </c>
      <c r="L66" s="101">
        <v>0</v>
      </c>
      <c r="M66" s="101">
        <v>0</v>
      </c>
      <c r="N66" s="101">
        <v>0</v>
      </c>
      <c r="O66" s="101">
        <v>0</v>
      </c>
      <c r="P66" s="112"/>
    </row>
    <row r="67" spans="1:16" s="4" customFormat="1" ht="26.25" customHeight="1">
      <c r="A67" s="125"/>
      <c r="B67" s="125"/>
      <c r="C67" s="126" t="s">
        <v>43</v>
      </c>
      <c r="D67" s="90">
        <f>4150035+416104-414104</f>
        <v>4152035</v>
      </c>
      <c r="E67" s="105">
        <f t="shared" si="18"/>
        <v>0</v>
      </c>
      <c r="F67" s="105">
        <v>0</v>
      </c>
      <c r="G67" s="105">
        <v>0</v>
      </c>
      <c r="H67" s="105">
        <v>0</v>
      </c>
      <c r="I67" s="105">
        <v>0</v>
      </c>
      <c r="J67" s="90">
        <v>313289</v>
      </c>
      <c r="K67" s="105">
        <f t="shared" si="19"/>
        <v>0</v>
      </c>
      <c r="L67" s="105">
        <v>0</v>
      </c>
      <c r="M67" s="105">
        <v>0</v>
      </c>
      <c r="N67" s="105">
        <v>0</v>
      </c>
      <c r="O67" s="105">
        <v>0</v>
      </c>
      <c r="P67" s="127"/>
    </row>
    <row r="68" spans="1:16" s="4" customFormat="1" ht="26.25" customHeight="1">
      <c r="A68" s="110"/>
      <c r="B68" s="110"/>
      <c r="C68" s="119" t="s">
        <v>118</v>
      </c>
      <c r="D68" s="101">
        <v>1566000</v>
      </c>
      <c r="E68" s="101">
        <f t="shared" si="18"/>
        <v>0</v>
      </c>
      <c r="F68" s="101">
        <v>0</v>
      </c>
      <c r="G68" s="101">
        <v>0</v>
      </c>
      <c r="H68" s="101">
        <v>0</v>
      </c>
      <c r="I68" s="101">
        <v>0</v>
      </c>
      <c r="J68" s="101">
        <v>181640</v>
      </c>
      <c r="K68" s="101">
        <f t="shared" si="19"/>
        <v>0</v>
      </c>
      <c r="L68" s="101">
        <v>0</v>
      </c>
      <c r="M68" s="101">
        <v>0</v>
      </c>
      <c r="N68" s="101">
        <v>0</v>
      </c>
      <c r="O68" s="101">
        <v>0</v>
      </c>
      <c r="P68" s="112" t="s">
        <v>27</v>
      </c>
    </row>
    <row r="69" spans="1:16" s="4" customFormat="1" ht="27.75" customHeight="1">
      <c r="A69" s="110"/>
      <c r="B69" s="110"/>
      <c r="C69" s="128" t="s">
        <v>119</v>
      </c>
      <c r="D69" s="129">
        <v>0</v>
      </c>
      <c r="E69" s="101">
        <f t="shared" si="18"/>
        <v>123245</v>
      </c>
      <c r="F69" s="129">
        <f>100000+23245</f>
        <v>123245</v>
      </c>
      <c r="G69" s="130">
        <v>0</v>
      </c>
      <c r="H69" s="130">
        <v>0</v>
      </c>
      <c r="I69" s="130">
        <v>0</v>
      </c>
      <c r="J69" s="129">
        <v>0</v>
      </c>
      <c r="K69" s="101">
        <f t="shared" si="19"/>
        <v>5535</v>
      </c>
      <c r="L69" s="129">
        <v>5535</v>
      </c>
      <c r="M69" s="130">
        <v>0</v>
      </c>
      <c r="N69" s="130">
        <v>0</v>
      </c>
      <c r="O69" s="130">
        <v>0</v>
      </c>
      <c r="P69" s="112"/>
    </row>
    <row r="70" spans="1:16" s="62" customFormat="1" ht="14.25" customHeight="1">
      <c r="A70" s="71"/>
      <c r="B70" s="72"/>
      <c r="C70" s="73" t="s">
        <v>44</v>
      </c>
      <c r="D70" s="74">
        <v>0</v>
      </c>
      <c r="E70" s="104">
        <f t="shared" si="18"/>
        <v>331755</v>
      </c>
      <c r="F70" s="74">
        <f>355000-23245</f>
        <v>331755</v>
      </c>
      <c r="G70" s="74">
        <v>0</v>
      </c>
      <c r="H70" s="74">
        <v>0</v>
      </c>
      <c r="I70" s="74">
        <v>0</v>
      </c>
      <c r="J70" s="74">
        <v>0</v>
      </c>
      <c r="K70" s="104">
        <f t="shared" si="19"/>
        <v>331755</v>
      </c>
      <c r="L70" s="74">
        <v>331755</v>
      </c>
      <c r="M70" s="74">
        <v>0</v>
      </c>
      <c r="N70" s="74">
        <v>0</v>
      </c>
      <c r="O70" s="74">
        <v>0</v>
      </c>
      <c r="P70" s="127"/>
    </row>
    <row r="71" spans="1:16" s="31" customFormat="1" ht="15.75" hidden="1" customHeight="1">
      <c r="A71" s="51"/>
      <c r="B71" s="77" t="s">
        <v>107</v>
      </c>
      <c r="C71" s="78" t="s">
        <v>120</v>
      </c>
      <c r="D71" s="79">
        <f t="shared" ref="D71:O73" si="20">D72</f>
        <v>0</v>
      </c>
      <c r="E71" s="79">
        <f t="shared" si="20"/>
        <v>0</v>
      </c>
      <c r="F71" s="79">
        <f t="shared" si="20"/>
        <v>0</v>
      </c>
      <c r="G71" s="79">
        <f t="shared" si="20"/>
        <v>0</v>
      </c>
      <c r="H71" s="79">
        <f t="shared" si="20"/>
        <v>0</v>
      </c>
      <c r="I71" s="79">
        <f t="shared" si="20"/>
        <v>0</v>
      </c>
      <c r="J71" s="79">
        <f t="shared" si="20"/>
        <v>0</v>
      </c>
      <c r="K71" s="79">
        <f t="shared" si="20"/>
        <v>0</v>
      </c>
      <c r="L71" s="79">
        <f t="shared" si="20"/>
        <v>0</v>
      </c>
      <c r="M71" s="79">
        <f t="shared" si="20"/>
        <v>0</v>
      </c>
      <c r="N71" s="79">
        <f t="shared" si="20"/>
        <v>0</v>
      </c>
      <c r="O71" s="79">
        <f t="shared" si="20"/>
        <v>0</v>
      </c>
      <c r="P71" s="131"/>
    </row>
    <row r="72" spans="1:16" s="62" customFormat="1" ht="28.5" hidden="1" customHeight="1">
      <c r="A72" s="57"/>
      <c r="B72" s="57"/>
      <c r="C72" s="132" t="s">
        <v>108</v>
      </c>
      <c r="D72" s="133">
        <v>0</v>
      </c>
      <c r="E72" s="134">
        <f>SUM(F72:I72)</f>
        <v>0</v>
      </c>
      <c r="F72" s="135">
        <f>150000-150000</f>
        <v>0</v>
      </c>
      <c r="G72" s="134">
        <v>0</v>
      </c>
      <c r="H72" s="134">
        <v>0</v>
      </c>
      <c r="I72" s="134">
        <v>0</v>
      </c>
      <c r="J72" s="133">
        <v>0</v>
      </c>
      <c r="K72" s="134">
        <f>SUM(L72:O72)</f>
        <v>0</v>
      </c>
      <c r="L72" s="135">
        <f>150000-150000</f>
        <v>0</v>
      </c>
      <c r="M72" s="134">
        <v>0</v>
      </c>
      <c r="N72" s="134">
        <v>0</v>
      </c>
      <c r="O72" s="134">
        <v>0</v>
      </c>
      <c r="P72" s="136" t="s">
        <v>27</v>
      </c>
    </row>
    <row r="73" spans="1:16" s="31" customFormat="1" ht="15.75" customHeight="1">
      <c r="A73" s="51"/>
      <c r="B73" s="52" t="s">
        <v>45</v>
      </c>
      <c r="C73" s="78" t="s">
        <v>70</v>
      </c>
      <c r="D73" s="79">
        <f t="shared" si="20"/>
        <v>45000000</v>
      </c>
      <c r="E73" s="79">
        <f t="shared" si="20"/>
        <v>0</v>
      </c>
      <c r="F73" s="79">
        <f t="shared" si="20"/>
        <v>0</v>
      </c>
      <c r="G73" s="79">
        <f t="shared" si="20"/>
        <v>0</v>
      </c>
      <c r="H73" s="79">
        <f t="shared" si="20"/>
        <v>0</v>
      </c>
      <c r="I73" s="79">
        <f t="shared" si="20"/>
        <v>0</v>
      </c>
      <c r="J73" s="79">
        <f t="shared" si="20"/>
        <v>0</v>
      </c>
      <c r="K73" s="79">
        <f t="shared" si="20"/>
        <v>0</v>
      </c>
      <c r="L73" s="79">
        <f t="shared" si="20"/>
        <v>0</v>
      </c>
      <c r="M73" s="79">
        <f t="shared" si="20"/>
        <v>0</v>
      </c>
      <c r="N73" s="79">
        <f t="shared" si="20"/>
        <v>0</v>
      </c>
      <c r="O73" s="79">
        <f t="shared" si="20"/>
        <v>0</v>
      </c>
      <c r="P73" s="131"/>
    </row>
    <row r="74" spans="1:16" s="62" customFormat="1" ht="14.25" customHeight="1">
      <c r="A74" s="57"/>
      <c r="B74" s="57"/>
      <c r="C74" s="132" t="s">
        <v>46</v>
      </c>
      <c r="D74" s="137">
        <v>45000000</v>
      </c>
      <c r="E74" s="138">
        <f>SUM(F74:I74)</f>
        <v>0</v>
      </c>
      <c r="F74" s="138">
        <v>0</v>
      </c>
      <c r="G74" s="138">
        <v>0</v>
      </c>
      <c r="H74" s="138">
        <v>0</v>
      </c>
      <c r="I74" s="138">
        <v>0</v>
      </c>
      <c r="J74" s="137">
        <v>0</v>
      </c>
      <c r="K74" s="138">
        <f>SUM(L74:O74)</f>
        <v>0</v>
      </c>
      <c r="L74" s="138">
        <v>0</v>
      </c>
      <c r="M74" s="138">
        <v>0</v>
      </c>
      <c r="N74" s="138">
        <v>0</v>
      </c>
      <c r="O74" s="138">
        <v>0</v>
      </c>
      <c r="P74" s="139" t="s">
        <v>18</v>
      </c>
    </row>
    <row r="75" spans="1:16" s="31" customFormat="1" ht="15.75" customHeight="1">
      <c r="A75" s="51"/>
      <c r="B75" s="52" t="s">
        <v>47</v>
      </c>
      <c r="C75" s="53" t="s">
        <v>71</v>
      </c>
      <c r="D75" s="54">
        <f t="shared" ref="D75:I75" si="21">SUM(D76:D78)</f>
        <v>3574313</v>
      </c>
      <c r="E75" s="54">
        <f t="shared" si="21"/>
        <v>0</v>
      </c>
      <c r="F75" s="54">
        <f t="shared" si="21"/>
        <v>0</v>
      </c>
      <c r="G75" s="54">
        <f t="shared" si="21"/>
        <v>0</v>
      </c>
      <c r="H75" s="54">
        <f t="shared" si="21"/>
        <v>0</v>
      </c>
      <c r="I75" s="54">
        <f t="shared" si="21"/>
        <v>0</v>
      </c>
      <c r="J75" s="54">
        <f t="shared" ref="J75:O75" si="22">SUM(J76:J78)</f>
        <v>0</v>
      </c>
      <c r="K75" s="54">
        <f t="shared" si="22"/>
        <v>0</v>
      </c>
      <c r="L75" s="54">
        <f t="shared" si="22"/>
        <v>0</v>
      </c>
      <c r="M75" s="54">
        <f t="shared" si="22"/>
        <v>0</v>
      </c>
      <c r="N75" s="54">
        <f t="shared" si="22"/>
        <v>0</v>
      </c>
      <c r="O75" s="54">
        <f t="shared" si="22"/>
        <v>0</v>
      </c>
      <c r="P75" s="30"/>
    </row>
    <row r="76" spans="1:16" s="62" customFormat="1" ht="14.25" customHeight="1">
      <c r="A76" s="57"/>
      <c r="B76" s="57"/>
      <c r="C76" s="59" t="s">
        <v>48</v>
      </c>
      <c r="D76" s="60">
        <v>89912</v>
      </c>
      <c r="E76" s="60">
        <f>SUM(F76:I76)</f>
        <v>0</v>
      </c>
      <c r="F76" s="60"/>
      <c r="G76" s="60">
        <v>0</v>
      </c>
      <c r="H76" s="60">
        <v>0</v>
      </c>
      <c r="I76" s="60">
        <v>0</v>
      </c>
      <c r="J76" s="60">
        <v>0</v>
      </c>
      <c r="K76" s="60">
        <f>SUM(L76:O76)</f>
        <v>0</v>
      </c>
      <c r="L76" s="60"/>
      <c r="M76" s="60">
        <v>0</v>
      </c>
      <c r="N76" s="60">
        <v>0</v>
      </c>
      <c r="O76" s="60">
        <v>0</v>
      </c>
      <c r="P76" s="61" t="s">
        <v>18</v>
      </c>
    </row>
    <row r="77" spans="1:16" s="4" customFormat="1" ht="27.75" customHeight="1">
      <c r="A77" s="69"/>
      <c r="B77" s="99"/>
      <c r="C77" s="38" t="s">
        <v>142</v>
      </c>
      <c r="D77" s="39">
        <v>1906308</v>
      </c>
      <c r="E77" s="39">
        <f>SUM(F77:I77)</f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f>SUM(L77:O77)</f>
        <v>0</v>
      </c>
      <c r="L77" s="39">
        <v>0</v>
      </c>
      <c r="M77" s="39">
        <v>0</v>
      </c>
      <c r="N77" s="39">
        <v>0</v>
      </c>
      <c r="O77" s="39">
        <v>0</v>
      </c>
      <c r="P77" s="68"/>
    </row>
    <row r="78" spans="1:16" s="62" customFormat="1" ht="14.25" customHeight="1">
      <c r="A78" s="72"/>
      <c r="B78" s="72"/>
      <c r="C78" s="73" t="s">
        <v>102</v>
      </c>
      <c r="D78" s="140">
        <v>1578093</v>
      </c>
      <c r="E78" s="74">
        <f>SUM(F78:I78)</f>
        <v>0</v>
      </c>
      <c r="F78" s="74">
        <v>0</v>
      </c>
      <c r="G78" s="74">
        <v>0</v>
      </c>
      <c r="H78" s="74">
        <v>0</v>
      </c>
      <c r="I78" s="74">
        <v>0</v>
      </c>
      <c r="J78" s="140">
        <v>0</v>
      </c>
      <c r="K78" s="74">
        <f>SUM(L78:O78)</f>
        <v>0</v>
      </c>
      <c r="L78" s="74">
        <v>0</v>
      </c>
      <c r="M78" s="74">
        <v>0</v>
      </c>
      <c r="N78" s="74">
        <v>0</v>
      </c>
      <c r="O78" s="74">
        <v>0</v>
      </c>
      <c r="P78" s="75"/>
    </row>
    <row r="79" spans="1:16" s="25" customFormat="1" ht="14.25" customHeight="1">
      <c r="A79" s="21" t="s">
        <v>49</v>
      </c>
      <c r="B79" s="21"/>
      <c r="C79" s="22" t="s">
        <v>72</v>
      </c>
      <c r="D79" s="23">
        <f t="shared" ref="D79:O79" si="23">D80</f>
        <v>9366000</v>
      </c>
      <c r="E79" s="23">
        <f t="shared" si="23"/>
        <v>370000</v>
      </c>
      <c r="F79" s="23">
        <f t="shared" si="23"/>
        <v>370000</v>
      </c>
      <c r="G79" s="23">
        <f t="shared" si="23"/>
        <v>0</v>
      </c>
      <c r="H79" s="23">
        <f t="shared" si="23"/>
        <v>0</v>
      </c>
      <c r="I79" s="23">
        <f t="shared" si="23"/>
        <v>0</v>
      </c>
      <c r="J79" s="23">
        <f t="shared" si="23"/>
        <v>9366000</v>
      </c>
      <c r="K79" s="23">
        <f t="shared" si="23"/>
        <v>52151</v>
      </c>
      <c r="L79" s="23">
        <f t="shared" si="23"/>
        <v>52151</v>
      </c>
      <c r="M79" s="23">
        <f t="shared" si="23"/>
        <v>0</v>
      </c>
      <c r="N79" s="23">
        <f t="shared" si="23"/>
        <v>0</v>
      </c>
      <c r="O79" s="23">
        <f t="shared" si="23"/>
        <v>0</v>
      </c>
      <c r="P79" s="24"/>
    </row>
    <row r="80" spans="1:16" s="31" customFormat="1" ht="15.75" customHeight="1">
      <c r="A80" s="26"/>
      <c r="B80" s="52" t="s">
        <v>50</v>
      </c>
      <c r="C80" s="53" t="s">
        <v>73</v>
      </c>
      <c r="D80" s="54">
        <f t="shared" ref="D80:I80" si="24">SUM(D81:D82)</f>
        <v>9366000</v>
      </c>
      <c r="E80" s="54">
        <f t="shared" si="24"/>
        <v>370000</v>
      </c>
      <c r="F80" s="54">
        <f t="shared" si="24"/>
        <v>370000</v>
      </c>
      <c r="G80" s="54">
        <f t="shared" si="24"/>
        <v>0</v>
      </c>
      <c r="H80" s="54">
        <f t="shared" si="24"/>
        <v>0</v>
      </c>
      <c r="I80" s="54">
        <f t="shared" si="24"/>
        <v>0</v>
      </c>
      <c r="J80" s="54">
        <f t="shared" ref="J80:O80" si="25">SUM(J81:J82)</f>
        <v>9366000</v>
      </c>
      <c r="K80" s="54">
        <f t="shared" si="25"/>
        <v>52151</v>
      </c>
      <c r="L80" s="54">
        <f t="shared" si="25"/>
        <v>52151</v>
      </c>
      <c r="M80" s="54">
        <f t="shared" si="25"/>
        <v>0</v>
      </c>
      <c r="N80" s="54">
        <f t="shared" si="25"/>
        <v>0</v>
      </c>
      <c r="O80" s="54">
        <f t="shared" si="25"/>
        <v>0</v>
      </c>
      <c r="P80" s="30"/>
    </row>
    <row r="81" spans="1:16" ht="28.5" customHeight="1">
      <c r="A81" s="57"/>
      <c r="B81" s="65"/>
      <c r="C81" s="34" t="s">
        <v>103</v>
      </c>
      <c r="D81" s="35">
        <v>9366000</v>
      </c>
      <c r="E81" s="35">
        <f>SUM(F81:I81)</f>
        <v>0</v>
      </c>
      <c r="F81" s="35">
        <v>0</v>
      </c>
      <c r="G81" s="35">
        <v>0</v>
      </c>
      <c r="H81" s="35">
        <v>0</v>
      </c>
      <c r="I81" s="35">
        <v>0</v>
      </c>
      <c r="J81" s="35">
        <v>9366000</v>
      </c>
      <c r="K81" s="35">
        <f>SUM(L81:O81)</f>
        <v>0</v>
      </c>
      <c r="L81" s="35">
        <v>0</v>
      </c>
      <c r="M81" s="35">
        <v>0</v>
      </c>
      <c r="N81" s="35">
        <v>0</v>
      </c>
      <c r="O81" s="35">
        <v>0</v>
      </c>
      <c r="P81" s="61" t="s">
        <v>18</v>
      </c>
    </row>
    <row r="82" spans="1:16" ht="27" customHeight="1">
      <c r="A82" s="82"/>
      <c r="B82" s="82"/>
      <c r="C82" s="48" t="s">
        <v>51</v>
      </c>
      <c r="D82" s="49">
        <v>0</v>
      </c>
      <c r="E82" s="49">
        <f>SUM(F82:I82)</f>
        <v>370000</v>
      </c>
      <c r="F82" s="49">
        <v>370000</v>
      </c>
      <c r="G82" s="49">
        <v>0</v>
      </c>
      <c r="H82" s="49">
        <v>0</v>
      </c>
      <c r="I82" s="49">
        <v>0</v>
      </c>
      <c r="J82" s="49">
        <v>0</v>
      </c>
      <c r="K82" s="49">
        <f>SUM(L82:O82)</f>
        <v>52151</v>
      </c>
      <c r="L82" s="49">
        <v>52151</v>
      </c>
      <c r="M82" s="49">
        <v>0</v>
      </c>
      <c r="N82" s="49">
        <v>0</v>
      </c>
      <c r="O82" s="49">
        <v>0</v>
      </c>
      <c r="P82" s="75"/>
    </row>
    <row r="83" spans="1:16" s="25" customFormat="1" ht="14.25" customHeight="1">
      <c r="A83" s="21" t="s">
        <v>126</v>
      </c>
      <c r="B83" s="21"/>
      <c r="C83" s="22" t="s">
        <v>139</v>
      </c>
      <c r="D83" s="23">
        <f t="shared" ref="D83:O83" si="26">D84</f>
        <v>0</v>
      </c>
      <c r="E83" s="23">
        <f t="shared" si="26"/>
        <v>21000</v>
      </c>
      <c r="F83" s="23">
        <f t="shared" si="26"/>
        <v>21000</v>
      </c>
      <c r="G83" s="23">
        <f t="shared" si="26"/>
        <v>0</v>
      </c>
      <c r="H83" s="23">
        <f t="shared" si="26"/>
        <v>0</v>
      </c>
      <c r="I83" s="23">
        <f t="shared" si="26"/>
        <v>0</v>
      </c>
      <c r="J83" s="23">
        <f t="shared" si="26"/>
        <v>0</v>
      </c>
      <c r="K83" s="23">
        <f t="shared" si="26"/>
        <v>19602</v>
      </c>
      <c r="L83" s="23">
        <f t="shared" si="26"/>
        <v>19602</v>
      </c>
      <c r="M83" s="23">
        <f t="shared" si="26"/>
        <v>0</v>
      </c>
      <c r="N83" s="23">
        <f t="shared" si="26"/>
        <v>0</v>
      </c>
      <c r="O83" s="23">
        <f t="shared" si="26"/>
        <v>0</v>
      </c>
      <c r="P83" s="24"/>
    </row>
    <row r="84" spans="1:16" s="31" customFormat="1" ht="15.75" customHeight="1">
      <c r="A84" s="26"/>
      <c r="B84" s="52" t="s">
        <v>127</v>
      </c>
      <c r="C84" s="53" t="s">
        <v>141</v>
      </c>
      <c r="D84" s="54">
        <f t="shared" ref="D84:I84" si="27">SUM(D85:D86)</f>
        <v>0</v>
      </c>
      <c r="E84" s="54">
        <f t="shared" si="27"/>
        <v>21000</v>
      </c>
      <c r="F84" s="54">
        <f t="shared" si="27"/>
        <v>21000</v>
      </c>
      <c r="G84" s="54">
        <f t="shared" si="27"/>
        <v>0</v>
      </c>
      <c r="H84" s="54">
        <f t="shared" si="27"/>
        <v>0</v>
      </c>
      <c r="I84" s="54">
        <f t="shared" si="27"/>
        <v>0</v>
      </c>
      <c r="J84" s="54">
        <f t="shared" ref="J84:O84" si="28">SUM(J85:J86)</f>
        <v>0</v>
      </c>
      <c r="K84" s="54">
        <f t="shared" si="28"/>
        <v>19602</v>
      </c>
      <c r="L84" s="54">
        <f t="shared" si="28"/>
        <v>19602</v>
      </c>
      <c r="M84" s="54">
        <f t="shared" si="28"/>
        <v>0</v>
      </c>
      <c r="N84" s="54">
        <f t="shared" si="28"/>
        <v>0</v>
      </c>
      <c r="O84" s="54">
        <f t="shared" si="28"/>
        <v>0</v>
      </c>
      <c r="P84" s="30"/>
    </row>
    <row r="85" spans="1:16" ht="22.5" customHeight="1">
      <c r="A85" s="57"/>
      <c r="B85" s="65"/>
      <c r="C85" s="34" t="s">
        <v>129</v>
      </c>
      <c r="D85" s="35">
        <v>0</v>
      </c>
      <c r="E85" s="35">
        <f>SUM(F85:I85)</f>
        <v>10500</v>
      </c>
      <c r="F85" s="35">
        <v>10500</v>
      </c>
      <c r="G85" s="35">
        <v>0</v>
      </c>
      <c r="H85" s="35">
        <v>0</v>
      </c>
      <c r="I85" s="35">
        <v>0</v>
      </c>
      <c r="J85" s="35">
        <v>0</v>
      </c>
      <c r="K85" s="35">
        <f>SUM(L85:O85)</f>
        <v>10500</v>
      </c>
      <c r="L85" s="35">
        <v>10500</v>
      </c>
      <c r="M85" s="35">
        <v>0</v>
      </c>
      <c r="N85" s="35">
        <v>0</v>
      </c>
      <c r="O85" s="35">
        <v>0</v>
      </c>
      <c r="P85" s="61" t="s">
        <v>128</v>
      </c>
    </row>
    <row r="86" spans="1:16" ht="21.75" customHeight="1">
      <c r="A86" s="82"/>
      <c r="B86" s="82"/>
      <c r="C86" s="48" t="s">
        <v>130</v>
      </c>
      <c r="D86" s="49">
        <v>0</v>
      </c>
      <c r="E86" s="49">
        <f>SUM(F86:I86)</f>
        <v>10500</v>
      </c>
      <c r="F86" s="49">
        <v>10500</v>
      </c>
      <c r="G86" s="49">
        <v>0</v>
      </c>
      <c r="H86" s="49">
        <v>0</v>
      </c>
      <c r="I86" s="49">
        <v>0</v>
      </c>
      <c r="J86" s="49">
        <v>0</v>
      </c>
      <c r="K86" s="49">
        <f>SUM(L86:O86)</f>
        <v>9102</v>
      </c>
      <c r="L86" s="49">
        <v>9102</v>
      </c>
      <c r="M86" s="49">
        <v>0</v>
      </c>
      <c r="N86" s="49">
        <v>0</v>
      </c>
      <c r="O86" s="49">
        <v>0</v>
      </c>
      <c r="P86" s="75"/>
    </row>
    <row r="87" spans="1:16" s="25" customFormat="1" ht="14.25" customHeight="1">
      <c r="A87" s="21" t="s">
        <v>52</v>
      </c>
      <c r="B87" s="21"/>
      <c r="C87" s="22" t="s">
        <v>74</v>
      </c>
      <c r="D87" s="141">
        <f t="shared" ref="D87:I87" si="29">D88+D90+D95</f>
        <v>80794</v>
      </c>
      <c r="E87" s="141">
        <f t="shared" si="29"/>
        <v>2490000</v>
      </c>
      <c r="F87" s="23">
        <f t="shared" si="29"/>
        <v>2490000</v>
      </c>
      <c r="G87" s="23">
        <f t="shared" si="29"/>
        <v>0</v>
      </c>
      <c r="H87" s="23">
        <f t="shared" si="29"/>
        <v>0</v>
      </c>
      <c r="I87" s="23">
        <f t="shared" si="29"/>
        <v>0</v>
      </c>
      <c r="J87" s="141">
        <f t="shared" ref="J87:O87" si="30">J88+J90+J95</f>
        <v>0</v>
      </c>
      <c r="K87" s="141">
        <f t="shared" si="30"/>
        <v>0</v>
      </c>
      <c r="L87" s="23">
        <f t="shared" si="30"/>
        <v>0</v>
      </c>
      <c r="M87" s="23">
        <f t="shared" si="30"/>
        <v>0</v>
      </c>
      <c r="N87" s="23">
        <f t="shared" si="30"/>
        <v>0</v>
      </c>
      <c r="O87" s="23">
        <f t="shared" si="30"/>
        <v>0</v>
      </c>
      <c r="P87" s="24"/>
    </row>
    <row r="88" spans="1:16" s="31" customFormat="1" ht="15.75" customHeight="1">
      <c r="A88" s="26"/>
      <c r="B88" s="52" t="s">
        <v>54</v>
      </c>
      <c r="C88" s="53" t="s">
        <v>75</v>
      </c>
      <c r="D88" s="54">
        <f t="shared" ref="D88:O88" si="31">SUM(D89)</f>
        <v>0</v>
      </c>
      <c r="E88" s="54">
        <f t="shared" si="31"/>
        <v>30000</v>
      </c>
      <c r="F88" s="54">
        <f t="shared" si="31"/>
        <v>30000</v>
      </c>
      <c r="G88" s="54">
        <f t="shared" si="31"/>
        <v>0</v>
      </c>
      <c r="H88" s="54">
        <f t="shared" si="31"/>
        <v>0</v>
      </c>
      <c r="I88" s="54">
        <f t="shared" si="31"/>
        <v>0</v>
      </c>
      <c r="J88" s="54">
        <f t="shared" si="31"/>
        <v>0</v>
      </c>
      <c r="K88" s="54">
        <f t="shared" si="31"/>
        <v>0</v>
      </c>
      <c r="L88" s="54">
        <f t="shared" si="31"/>
        <v>0</v>
      </c>
      <c r="M88" s="54">
        <f t="shared" si="31"/>
        <v>0</v>
      </c>
      <c r="N88" s="54">
        <f t="shared" si="31"/>
        <v>0</v>
      </c>
      <c r="O88" s="54">
        <f t="shared" si="31"/>
        <v>0</v>
      </c>
      <c r="P88" s="30"/>
    </row>
    <row r="89" spans="1:16" ht="14.25" customHeight="1">
      <c r="A89" s="57"/>
      <c r="B89" s="142"/>
      <c r="C89" s="143" t="s">
        <v>17</v>
      </c>
      <c r="D89" s="85">
        <v>0</v>
      </c>
      <c r="E89" s="84">
        <f>SUM(F89:I89)</f>
        <v>30000</v>
      </c>
      <c r="F89" s="85">
        <v>30000</v>
      </c>
      <c r="G89" s="85">
        <v>0</v>
      </c>
      <c r="H89" s="85">
        <v>0</v>
      </c>
      <c r="I89" s="85">
        <v>0</v>
      </c>
      <c r="J89" s="85">
        <v>0</v>
      </c>
      <c r="K89" s="84">
        <f>SUM(L89:O89)</f>
        <v>0</v>
      </c>
      <c r="L89" s="85">
        <v>0</v>
      </c>
      <c r="M89" s="85">
        <v>0</v>
      </c>
      <c r="N89" s="85">
        <v>0</v>
      </c>
      <c r="O89" s="85">
        <v>0</v>
      </c>
      <c r="P89" s="86" t="s">
        <v>18</v>
      </c>
    </row>
    <row r="90" spans="1:16" s="31" customFormat="1" ht="15.75" customHeight="1">
      <c r="A90" s="51"/>
      <c r="B90" s="77" t="s">
        <v>53</v>
      </c>
      <c r="C90" s="78" t="s">
        <v>76</v>
      </c>
      <c r="D90" s="79">
        <f t="shared" ref="D90:I90" si="32">SUM(D91:D94)</f>
        <v>65294</v>
      </c>
      <c r="E90" s="79">
        <f t="shared" si="32"/>
        <v>2460000</v>
      </c>
      <c r="F90" s="79">
        <f t="shared" si="32"/>
        <v>2460000</v>
      </c>
      <c r="G90" s="79">
        <f t="shared" si="32"/>
        <v>0</v>
      </c>
      <c r="H90" s="79">
        <f t="shared" si="32"/>
        <v>0</v>
      </c>
      <c r="I90" s="79">
        <f t="shared" si="32"/>
        <v>0</v>
      </c>
      <c r="J90" s="79">
        <f t="shared" ref="J90:O90" si="33">SUM(J91:J94)</f>
        <v>0</v>
      </c>
      <c r="K90" s="79">
        <f t="shared" si="33"/>
        <v>0</v>
      </c>
      <c r="L90" s="79">
        <f t="shared" si="33"/>
        <v>0</v>
      </c>
      <c r="M90" s="79">
        <f t="shared" si="33"/>
        <v>0</v>
      </c>
      <c r="N90" s="79">
        <f t="shared" si="33"/>
        <v>0</v>
      </c>
      <c r="O90" s="79">
        <f t="shared" si="33"/>
        <v>0</v>
      </c>
      <c r="P90" s="131"/>
    </row>
    <row r="91" spans="1:16" ht="26.25" customHeight="1">
      <c r="A91" s="57"/>
      <c r="B91" s="65"/>
      <c r="C91" s="34" t="s">
        <v>104</v>
      </c>
      <c r="D91" s="35">
        <v>0</v>
      </c>
      <c r="E91" s="35">
        <f>SUM(F91:I91)</f>
        <v>2200000</v>
      </c>
      <c r="F91" s="35">
        <v>2200000</v>
      </c>
      <c r="G91" s="35">
        <v>0</v>
      </c>
      <c r="H91" s="35">
        <v>0</v>
      </c>
      <c r="I91" s="35">
        <v>0</v>
      </c>
      <c r="J91" s="35">
        <v>0</v>
      </c>
      <c r="K91" s="35">
        <f>SUM(L91:O91)</f>
        <v>0</v>
      </c>
      <c r="L91" s="35">
        <v>0</v>
      </c>
      <c r="M91" s="35">
        <v>0</v>
      </c>
      <c r="N91" s="35">
        <v>0</v>
      </c>
      <c r="O91" s="35">
        <v>0</v>
      </c>
      <c r="P91" s="61" t="s">
        <v>18</v>
      </c>
    </row>
    <row r="92" spans="1:16" s="62" customFormat="1" ht="14.25" customHeight="1">
      <c r="A92" s="144"/>
      <c r="B92" s="144"/>
      <c r="C92" s="45" t="s">
        <v>105</v>
      </c>
      <c r="D92" s="46">
        <v>0</v>
      </c>
      <c r="E92" s="46">
        <f>SUM(F92:I92)</f>
        <v>70000</v>
      </c>
      <c r="F92" s="46">
        <v>70000</v>
      </c>
      <c r="G92" s="46">
        <v>0</v>
      </c>
      <c r="H92" s="46">
        <v>0</v>
      </c>
      <c r="I92" s="46">
        <v>0</v>
      </c>
      <c r="J92" s="46">
        <v>0</v>
      </c>
      <c r="K92" s="46">
        <f>SUM(L92:O92)</f>
        <v>0</v>
      </c>
      <c r="L92" s="46">
        <v>0</v>
      </c>
      <c r="M92" s="46">
        <v>0</v>
      </c>
      <c r="N92" s="46">
        <v>0</v>
      </c>
      <c r="O92" s="46">
        <v>0</v>
      </c>
      <c r="P92" s="112"/>
    </row>
    <row r="93" spans="1:16" s="62" customFormat="1" ht="14.25" customHeight="1">
      <c r="A93" s="144"/>
      <c r="B93" s="144"/>
      <c r="C93" s="45" t="s">
        <v>44</v>
      </c>
      <c r="D93" s="46">
        <v>0</v>
      </c>
      <c r="E93" s="46">
        <f>SUM(F93:I93)</f>
        <v>190000</v>
      </c>
      <c r="F93" s="46">
        <v>190000</v>
      </c>
      <c r="G93" s="46">
        <v>0</v>
      </c>
      <c r="H93" s="46">
        <v>0</v>
      </c>
      <c r="I93" s="46">
        <v>0</v>
      </c>
      <c r="J93" s="46">
        <v>0</v>
      </c>
      <c r="K93" s="46">
        <f>SUM(L93:O93)</f>
        <v>0</v>
      </c>
      <c r="L93" s="46">
        <v>0</v>
      </c>
      <c r="M93" s="46">
        <v>0</v>
      </c>
      <c r="N93" s="46">
        <v>0</v>
      </c>
      <c r="O93" s="46">
        <v>0</v>
      </c>
      <c r="P93" s="112"/>
    </row>
    <row r="94" spans="1:16" s="62" customFormat="1" ht="14.25" customHeight="1">
      <c r="A94" s="144"/>
      <c r="B94" s="144"/>
      <c r="C94" s="73" t="s">
        <v>106</v>
      </c>
      <c r="D94" s="74">
        <f>35294+30000</f>
        <v>65294</v>
      </c>
      <c r="E94" s="74">
        <f>SUM(F94:I94)</f>
        <v>0</v>
      </c>
      <c r="F94" s="74">
        <v>0</v>
      </c>
      <c r="G94" s="74">
        <v>0</v>
      </c>
      <c r="H94" s="74">
        <v>0</v>
      </c>
      <c r="I94" s="74">
        <v>0</v>
      </c>
      <c r="J94" s="74">
        <v>0</v>
      </c>
      <c r="K94" s="74">
        <f>SUM(L94:O94)</f>
        <v>0</v>
      </c>
      <c r="L94" s="74">
        <v>0</v>
      </c>
      <c r="M94" s="74">
        <v>0</v>
      </c>
      <c r="N94" s="74">
        <v>0</v>
      </c>
      <c r="O94" s="74">
        <v>0</v>
      </c>
      <c r="P94" s="127"/>
    </row>
    <row r="95" spans="1:16" s="31" customFormat="1" ht="15.75" customHeight="1">
      <c r="A95" s="51"/>
      <c r="B95" s="52" t="s">
        <v>55</v>
      </c>
      <c r="C95" s="53" t="s">
        <v>71</v>
      </c>
      <c r="D95" s="54">
        <f t="shared" ref="D95:I95" si="34">SUM(D96:D97)</f>
        <v>15500</v>
      </c>
      <c r="E95" s="54">
        <f t="shared" si="34"/>
        <v>0</v>
      </c>
      <c r="F95" s="54">
        <f t="shared" si="34"/>
        <v>0</v>
      </c>
      <c r="G95" s="54">
        <f t="shared" si="34"/>
        <v>0</v>
      </c>
      <c r="H95" s="54">
        <f t="shared" si="34"/>
        <v>0</v>
      </c>
      <c r="I95" s="54">
        <f t="shared" si="34"/>
        <v>0</v>
      </c>
      <c r="J95" s="54">
        <f t="shared" ref="J95:O95" si="35">SUM(J96:J97)</f>
        <v>0</v>
      </c>
      <c r="K95" s="54">
        <f t="shared" si="35"/>
        <v>0</v>
      </c>
      <c r="L95" s="54">
        <f t="shared" si="35"/>
        <v>0</v>
      </c>
      <c r="M95" s="54">
        <f t="shared" si="35"/>
        <v>0</v>
      </c>
      <c r="N95" s="54">
        <f t="shared" si="35"/>
        <v>0</v>
      </c>
      <c r="O95" s="54">
        <f t="shared" si="35"/>
        <v>0</v>
      </c>
      <c r="P95" s="30"/>
    </row>
    <row r="96" spans="1:16" ht="27" customHeight="1">
      <c r="A96" s="81"/>
      <c r="B96" s="81"/>
      <c r="C96" s="34" t="s">
        <v>56</v>
      </c>
      <c r="D96" s="35">
        <v>15500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61" t="s">
        <v>18</v>
      </c>
    </row>
    <row r="97" spans="1:16" s="4" customFormat="1" ht="39.75" hidden="1" customHeight="1">
      <c r="A97" s="110"/>
      <c r="B97" s="110"/>
      <c r="C97" s="93" t="s">
        <v>57</v>
      </c>
      <c r="D97" s="90">
        <f>3825+1175-3825-1175</f>
        <v>0</v>
      </c>
      <c r="E97" s="90">
        <f>SUM(F97:I97)</f>
        <v>0</v>
      </c>
      <c r="F97" s="90">
        <v>0</v>
      </c>
      <c r="G97" s="90">
        <v>0</v>
      </c>
      <c r="H97" s="90">
        <v>0</v>
      </c>
      <c r="I97" s="90">
        <v>0</v>
      </c>
      <c r="J97" s="90">
        <f>3825+1175-3825-1175</f>
        <v>0</v>
      </c>
      <c r="K97" s="90">
        <f>SUM(L97:O97)</f>
        <v>0</v>
      </c>
      <c r="L97" s="90">
        <v>0</v>
      </c>
      <c r="M97" s="90">
        <v>0</v>
      </c>
      <c r="N97" s="90">
        <v>0</v>
      </c>
      <c r="O97" s="90">
        <v>0</v>
      </c>
      <c r="P97" s="75"/>
    </row>
    <row r="98" spans="1:16" s="25" customFormat="1" ht="14.25" customHeight="1">
      <c r="A98" s="21" t="s">
        <v>58</v>
      </c>
      <c r="B98" s="21"/>
      <c r="C98" s="22" t="s">
        <v>77</v>
      </c>
      <c r="D98" s="23">
        <f t="shared" ref="D98:O98" si="36">D99</f>
        <v>12000</v>
      </c>
      <c r="E98" s="23">
        <f t="shared" si="36"/>
        <v>0</v>
      </c>
      <c r="F98" s="23">
        <f t="shared" si="36"/>
        <v>0</v>
      </c>
      <c r="G98" s="23">
        <f t="shared" si="36"/>
        <v>0</v>
      </c>
      <c r="H98" s="23">
        <f t="shared" si="36"/>
        <v>0</v>
      </c>
      <c r="I98" s="23">
        <f t="shared" si="36"/>
        <v>0</v>
      </c>
      <c r="J98" s="23">
        <f t="shared" si="36"/>
        <v>0</v>
      </c>
      <c r="K98" s="23">
        <f t="shared" si="36"/>
        <v>0</v>
      </c>
      <c r="L98" s="23">
        <f t="shared" si="36"/>
        <v>0</v>
      </c>
      <c r="M98" s="23">
        <f t="shared" si="36"/>
        <v>0</v>
      </c>
      <c r="N98" s="23">
        <f t="shared" si="36"/>
        <v>0</v>
      </c>
      <c r="O98" s="23">
        <f t="shared" si="36"/>
        <v>0</v>
      </c>
      <c r="P98" s="24"/>
    </row>
    <row r="99" spans="1:16" s="31" customFormat="1" ht="15.75" customHeight="1">
      <c r="A99" s="26"/>
      <c r="B99" s="52" t="s">
        <v>59</v>
      </c>
      <c r="C99" s="53" t="s">
        <v>78</v>
      </c>
      <c r="D99" s="54">
        <f t="shared" ref="D99:O99" si="37">SUM(D100:D100)</f>
        <v>12000</v>
      </c>
      <c r="E99" s="54">
        <f t="shared" si="37"/>
        <v>0</v>
      </c>
      <c r="F99" s="54">
        <f t="shared" si="37"/>
        <v>0</v>
      </c>
      <c r="G99" s="54">
        <f t="shared" si="37"/>
        <v>0</v>
      </c>
      <c r="H99" s="54">
        <f t="shared" si="37"/>
        <v>0</v>
      </c>
      <c r="I99" s="54">
        <f t="shared" si="37"/>
        <v>0</v>
      </c>
      <c r="J99" s="54">
        <f t="shared" si="37"/>
        <v>0</v>
      </c>
      <c r="K99" s="54">
        <f t="shared" si="37"/>
        <v>0</v>
      </c>
      <c r="L99" s="54">
        <f t="shared" si="37"/>
        <v>0</v>
      </c>
      <c r="M99" s="54">
        <f t="shared" si="37"/>
        <v>0</v>
      </c>
      <c r="N99" s="54">
        <f t="shared" si="37"/>
        <v>0</v>
      </c>
      <c r="O99" s="54">
        <f t="shared" si="37"/>
        <v>0</v>
      </c>
      <c r="P99" s="30"/>
    </row>
    <row r="100" spans="1:16" s="62" customFormat="1" ht="25.5">
      <c r="A100" s="144"/>
      <c r="B100" s="144"/>
      <c r="C100" s="132" t="s">
        <v>10</v>
      </c>
      <c r="D100" s="137">
        <f>10800+1200</f>
        <v>12000</v>
      </c>
      <c r="E100" s="138">
        <f>SUM(F100:I100)</f>
        <v>0</v>
      </c>
      <c r="F100" s="138">
        <v>0</v>
      </c>
      <c r="G100" s="138">
        <v>0</v>
      </c>
      <c r="H100" s="138">
        <v>0</v>
      </c>
      <c r="I100" s="138">
        <v>0</v>
      </c>
      <c r="J100" s="137">
        <v>0</v>
      </c>
      <c r="K100" s="138">
        <f>SUM(L100:O100)</f>
        <v>0</v>
      </c>
      <c r="L100" s="138">
        <v>0</v>
      </c>
      <c r="M100" s="138">
        <v>0</v>
      </c>
      <c r="N100" s="138">
        <v>0</v>
      </c>
      <c r="O100" s="138">
        <v>0</v>
      </c>
      <c r="P100" s="94" t="s">
        <v>28</v>
      </c>
    </row>
    <row r="101" spans="1:16" s="25" customFormat="1" ht="14.25" customHeight="1">
      <c r="A101" s="21" t="s">
        <v>60</v>
      </c>
      <c r="B101" s="21"/>
      <c r="C101" s="22" t="s">
        <v>79</v>
      </c>
      <c r="D101" s="23">
        <f>D102</f>
        <v>50000</v>
      </c>
      <c r="E101" s="23">
        <f t="shared" ref="E101:O102" si="38">E102</f>
        <v>0</v>
      </c>
      <c r="F101" s="23">
        <f t="shared" si="38"/>
        <v>0</v>
      </c>
      <c r="G101" s="23">
        <f t="shared" si="38"/>
        <v>0</v>
      </c>
      <c r="H101" s="23">
        <f t="shared" si="38"/>
        <v>0</v>
      </c>
      <c r="I101" s="23">
        <f t="shared" si="38"/>
        <v>0</v>
      </c>
      <c r="J101" s="23">
        <f>J102</f>
        <v>0</v>
      </c>
      <c r="K101" s="23">
        <f t="shared" si="38"/>
        <v>0</v>
      </c>
      <c r="L101" s="23">
        <f t="shared" si="38"/>
        <v>0</v>
      </c>
      <c r="M101" s="23">
        <f t="shared" si="38"/>
        <v>0</v>
      </c>
      <c r="N101" s="23">
        <f t="shared" si="38"/>
        <v>0</v>
      </c>
      <c r="O101" s="23">
        <f t="shared" si="38"/>
        <v>0</v>
      </c>
      <c r="P101" s="24"/>
    </row>
    <row r="102" spans="1:16" s="31" customFormat="1" ht="15.75" customHeight="1">
      <c r="A102" s="51"/>
      <c r="B102" s="52" t="s">
        <v>97</v>
      </c>
      <c r="C102" s="53" t="s">
        <v>71</v>
      </c>
      <c r="D102" s="54">
        <f>D103</f>
        <v>50000</v>
      </c>
      <c r="E102" s="54">
        <f t="shared" si="38"/>
        <v>0</v>
      </c>
      <c r="F102" s="54">
        <f t="shared" si="38"/>
        <v>0</v>
      </c>
      <c r="G102" s="54">
        <f t="shared" si="38"/>
        <v>0</v>
      </c>
      <c r="H102" s="54">
        <f t="shared" si="38"/>
        <v>0</v>
      </c>
      <c r="I102" s="54">
        <f t="shared" si="38"/>
        <v>0</v>
      </c>
      <c r="J102" s="54">
        <f>J103</f>
        <v>0</v>
      </c>
      <c r="K102" s="54">
        <f t="shared" si="38"/>
        <v>0</v>
      </c>
      <c r="L102" s="54">
        <f t="shared" si="38"/>
        <v>0</v>
      </c>
      <c r="M102" s="54">
        <f t="shared" si="38"/>
        <v>0</v>
      </c>
      <c r="N102" s="54">
        <f t="shared" si="38"/>
        <v>0</v>
      </c>
      <c r="O102" s="54">
        <f t="shared" si="38"/>
        <v>0</v>
      </c>
      <c r="P102" s="30"/>
    </row>
    <row r="103" spans="1:16" ht="53.25" customHeight="1">
      <c r="A103" s="145"/>
      <c r="B103" s="145"/>
      <c r="C103" s="83" t="s">
        <v>98</v>
      </c>
      <c r="D103" s="84">
        <v>50000</v>
      </c>
      <c r="E103" s="85">
        <f>SUM(F103:I103)</f>
        <v>0</v>
      </c>
      <c r="F103" s="85">
        <v>0</v>
      </c>
      <c r="G103" s="85">
        <v>0</v>
      </c>
      <c r="H103" s="85">
        <v>0</v>
      </c>
      <c r="I103" s="85">
        <v>0</v>
      </c>
      <c r="J103" s="84">
        <v>0</v>
      </c>
      <c r="K103" s="85">
        <f>SUM(L103:O103)</f>
        <v>0</v>
      </c>
      <c r="L103" s="85">
        <v>0</v>
      </c>
      <c r="M103" s="85">
        <v>0</v>
      </c>
      <c r="N103" s="85">
        <v>0</v>
      </c>
      <c r="O103" s="85">
        <v>0</v>
      </c>
      <c r="P103" s="91" t="s">
        <v>18</v>
      </c>
    </row>
    <row r="104" spans="1:16" s="25" customFormat="1" ht="28.5" customHeight="1">
      <c r="A104" s="146" t="s">
        <v>61</v>
      </c>
      <c r="B104" s="21"/>
      <c r="C104" s="22" t="s">
        <v>80</v>
      </c>
      <c r="D104" s="23">
        <f t="shared" ref="D104:O104" si="39">D105</f>
        <v>0</v>
      </c>
      <c r="E104" s="23">
        <f t="shared" si="39"/>
        <v>678000</v>
      </c>
      <c r="F104" s="23">
        <f t="shared" si="39"/>
        <v>80000</v>
      </c>
      <c r="G104" s="23">
        <f t="shared" si="39"/>
        <v>0</v>
      </c>
      <c r="H104" s="23">
        <f t="shared" si="39"/>
        <v>598000</v>
      </c>
      <c r="I104" s="23">
        <f t="shared" si="39"/>
        <v>0</v>
      </c>
      <c r="J104" s="23">
        <f t="shared" si="39"/>
        <v>0</v>
      </c>
      <c r="K104" s="23">
        <f t="shared" si="39"/>
        <v>9102</v>
      </c>
      <c r="L104" s="23">
        <f t="shared" si="39"/>
        <v>9102</v>
      </c>
      <c r="M104" s="23">
        <f t="shared" si="39"/>
        <v>0</v>
      </c>
      <c r="N104" s="23">
        <f t="shared" si="39"/>
        <v>0</v>
      </c>
      <c r="O104" s="23">
        <f t="shared" si="39"/>
        <v>0</v>
      </c>
      <c r="P104" s="24"/>
    </row>
    <row r="105" spans="1:16" s="31" customFormat="1" ht="15.75" customHeight="1">
      <c r="A105" s="51"/>
      <c r="B105" s="52" t="s">
        <v>62</v>
      </c>
      <c r="C105" s="53" t="s">
        <v>81</v>
      </c>
      <c r="D105" s="54">
        <f t="shared" ref="D105:O105" si="40">SUM(D106:D107)</f>
        <v>0</v>
      </c>
      <c r="E105" s="54">
        <f t="shared" si="40"/>
        <v>678000</v>
      </c>
      <c r="F105" s="54">
        <f t="shared" si="40"/>
        <v>80000</v>
      </c>
      <c r="G105" s="54">
        <f t="shared" si="40"/>
        <v>0</v>
      </c>
      <c r="H105" s="54">
        <f t="shared" si="40"/>
        <v>598000</v>
      </c>
      <c r="I105" s="54">
        <f t="shared" si="40"/>
        <v>0</v>
      </c>
      <c r="J105" s="54">
        <f t="shared" si="40"/>
        <v>0</v>
      </c>
      <c r="K105" s="54">
        <f t="shared" si="40"/>
        <v>9102</v>
      </c>
      <c r="L105" s="54">
        <f t="shared" si="40"/>
        <v>9102</v>
      </c>
      <c r="M105" s="54">
        <f t="shared" si="40"/>
        <v>0</v>
      </c>
      <c r="N105" s="54">
        <f t="shared" si="40"/>
        <v>0</v>
      </c>
      <c r="O105" s="54">
        <f t="shared" si="40"/>
        <v>0</v>
      </c>
      <c r="P105" s="30"/>
    </row>
    <row r="106" spans="1:16" ht="40.5" customHeight="1">
      <c r="A106" s="81"/>
      <c r="B106" s="81"/>
      <c r="C106" s="147" t="s">
        <v>96</v>
      </c>
      <c r="D106" s="148">
        <v>0</v>
      </c>
      <c r="E106" s="148">
        <f>SUM(F106:I106)</f>
        <v>668000</v>
      </c>
      <c r="F106" s="148">
        <v>70000</v>
      </c>
      <c r="G106" s="148">
        <v>0</v>
      </c>
      <c r="H106" s="148">
        <v>598000</v>
      </c>
      <c r="I106" s="148">
        <v>0</v>
      </c>
      <c r="J106" s="148">
        <v>0</v>
      </c>
      <c r="K106" s="148">
        <f>SUM(L106:O106)</f>
        <v>0</v>
      </c>
      <c r="L106" s="148">
        <v>0</v>
      </c>
      <c r="M106" s="148">
        <v>0</v>
      </c>
      <c r="N106" s="148">
        <v>0</v>
      </c>
      <c r="O106" s="148">
        <v>0</v>
      </c>
      <c r="P106" s="149" t="s">
        <v>95</v>
      </c>
    </row>
    <row r="107" spans="1:16" ht="40.5" customHeight="1">
      <c r="A107" s="81"/>
      <c r="B107" s="81"/>
      <c r="C107" s="48" t="s">
        <v>121</v>
      </c>
      <c r="D107" s="49">
        <v>0</v>
      </c>
      <c r="E107" s="49">
        <f>SUM(F107:I107)</f>
        <v>10000</v>
      </c>
      <c r="F107" s="49">
        <v>10000</v>
      </c>
      <c r="G107" s="49">
        <v>0</v>
      </c>
      <c r="H107" s="49">
        <v>0</v>
      </c>
      <c r="I107" s="49">
        <v>0</v>
      </c>
      <c r="J107" s="49">
        <v>0</v>
      </c>
      <c r="K107" s="49">
        <f>SUM(L107:O107)</f>
        <v>9102</v>
      </c>
      <c r="L107" s="49">
        <v>9102</v>
      </c>
      <c r="M107" s="49">
        <v>0</v>
      </c>
      <c r="N107" s="49">
        <v>0</v>
      </c>
      <c r="O107" s="49">
        <v>0</v>
      </c>
      <c r="P107" s="150" t="s">
        <v>124</v>
      </c>
    </row>
    <row r="108" spans="1:16" s="156" customFormat="1" ht="18" customHeight="1">
      <c r="A108" s="151" t="s">
        <v>134</v>
      </c>
      <c r="B108" s="152"/>
      <c r="C108" s="153"/>
      <c r="D108" s="154">
        <f t="shared" ref="D108:O108" si="41">SUM(D12+D31+D34+D79+D87+D98+D101+D104+D83)</f>
        <v>504918360</v>
      </c>
      <c r="E108" s="154">
        <f t="shared" si="41"/>
        <v>9651500</v>
      </c>
      <c r="F108" s="154">
        <f t="shared" si="41"/>
        <v>8253500</v>
      </c>
      <c r="G108" s="154">
        <f t="shared" si="41"/>
        <v>800000</v>
      </c>
      <c r="H108" s="154">
        <f t="shared" si="41"/>
        <v>598000</v>
      </c>
      <c r="I108" s="154">
        <f t="shared" si="41"/>
        <v>0</v>
      </c>
      <c r="J108" s="154">
        <f t="shared" si="41"/>
        <v>28800440</v>
      </c>
      <c r="K108" s="154">
        <f t="shared" si="41"/>
        <v>647333</v>
      </c>
      <c r="L108" s="154">
        <f t="shared" si="41"/>
        <v>428895</v>
      </c>
      <c r="M108" s="154">
        <f t="shared" si="41"/>
        <v>218438</v>
      </c>
      <c r="N108" s="154">
        <f t="shared" si="41"/>
        <v>0</v>
      </c>
      <c r="O108" s="154">
        <f t="shared" si="41"/>
        <v>0</v>
      </c>
      <c r="P108" s="155"/>
    </row>
    <row r="109" spans="1:16">
      <c r="D109" s="157"/>
      <c r="J109" s="158"/>
    </row>
  </sheetData>
  <mergeCells count="27">
    <mergeCell ref="A5:P5"/>
    <mergeCell ref="C8:C10"/>
    <mergeCell ref="D8:D10"/>
    <mergeCell ref="E8:I8"/>
    <mergeCell ref="F9:I9"/>
    <mergeCell ref="E9:E10"/>
    <mergeCell ref="A8:A10"/>
    <mergeCell ref="K8:O8"/>
    <mergeCell ref="K9:K10"/>
    <mergeCell ref="L9:O9"/>
    <mergeCell ref="B8:B10"/>
    <mergeCell ref="P8:P10"/>
    <mergeCell ref="J8:J10"/>
    <mergeCell ref="A108:C108"/>
    <mergeCell ref="P14:P15"/>
    <mergeCell ref="P20:P21"/>
    <mergeCell ref="P81:P82"/>
    <mergeCell ref="P96:P97"/>
    <mergeCell ref="P91:P94"/>
    <mergeCell ref="P76:P78"/>
    <mergeCell ref="P16:P18"/>
    <mergeCell ref="P22:P24"/>
    <mergeCell ref="P36:P38"/>
    <mergeCell ref="P85:P86"/>
    <mergeCell ref="P40:P41"/>
    <mergeCell ref="P42:P67"/>
    <mergeCell ref="P68:P70"/>
  </mergeCells>
  <phoneticPr fontId="1" type="noConversion"/>
  <pageMargins left="0.70866141732283461" right="0.70866141732283461" top="0.98425196850393704" bottom="0.6889763779527559" header="0" footer="0.19685039370078741"/>
  <pageSetup paperSize="9" scale="55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2012-08-27T12:44:16Z</cp:lastPrinted>
  <dcterms:created xsi:type="dcterms:W3CDTF">2010-11-24T14:24:05Z</dcterms:created>
  <dcterms:modified xsi:type="dcterms:W3CDTF">2012-09-18T07:30:04Z</dcterms:modified>
</cp:coreProperties>
</file>