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20" windowHeight="13170"/>
  </bookViews>
  <sheets>
    <sheet name="Arkusz1" sheetId="1" r:id="rId1"/>
  </sheets>
  <definedNames>
    <definedName name="_xlnm.Print_Area" localSheetId="0">Arkusz1!$A$1:$P$189</definedName>
    <definedName name="_xlnm.Print_Titles" localSheetId="0">Arkusz1!$12:$15</definedName>
  </definedNames>
  <calcPr calcId="125725"/>
</workbook>
</file>

<file path=xl/calcChain.xml><?xml version="1.0" encoding="utf-8"?>
<calcChain xmlns="http://schemas.openxmlformats.org/spreadsheetml/2006/main">
  <c r="L181" i="1"/>
  <c r="D164"/>
  <c r="D129"/>
  <c r="E129"/>
  <c r="L129"/>
  <c r="K129"/>
  <c r="J129"/>
  <c r="J154"/>
  <c r="L135"/>
  <c r="J97"/>
  <c r="J94"/>
  <c r="J92"/>
  <c r="J80"/>
  <c r="J86"/>
  <c r="L64"/>
  <c r="L76"/>
  <c r="L60"/>
  <c r="F135"/>
  <c r="K18"/>
  <c r="J170"/>
  <c r="K188"/>
  <c r="K187"/>
  <c r="K186"/>
  <c r="K185"/>
  <c r="K184"/>
  <c r="K183"/>
  <c r="K182"/>
  <c r="O181"/>
  <c r="O180" s="1"/>
  <c r="N181"/>
  <c r="N180" s="1"/>
  <c r="M181"/>
  <c r="M180" s="1"/>
  <c r="L180"/>
  <c r="J181"/>
  <c r="J180" s="1"/>
  <c r="K179"/>
  <c r="K178" s="1"/>
  <c r="K177" s="1"/>
  <c r="O178"/>
  <c r="N178"/>
  <c r="M178"/>
  <c r="J178"/>
  <c r="O177"/>
  <c r="N177"/>
  <c r="M177"/>
  <c r="J177"/>
  <c r="K176"/>
  <c r="K175"/>
  <c r="K174"/>
  <c r="O173"/>
  <c r="O172" s="1"/>
  <c r="N173"/>
  <c r="N172" s="1"/>
  <c r="M173"/>
  <c r="M172" s="1"/>
  <c r="L173"/>
  <c r="L172" s="1"/>
  <c r="J173"/>
  <c r="J172" s="1"/>
  <c r="K171"/>
  <c r="O170"/>
  <c r="N170"/>
  <c r="M170"/>
  <c r="L170"/>
  <c r="K170"/>
  <c r="K169"/>
  <c r="K168"/>
  <c r="O167"/>
  <c r="N167"/>
  <c r="N166" s="1"/>
  <c r="M167"/>
  <c r="L167"/>
  <c r="J167"/>
  <c r="O166"/>
  <c r="M166"/>
  <c r="L166"/>
  <c r="J166"/>
  <c r="K165"/>
  <c r="K164" s="1"/>
  <c r="O164"/>
  <c r="N164"/>
  <c r="M164"/>
  <c r="L164"/>
  <c r="J164"/>
  <c r="K163"/>
  <c r="K162" s="1"/>
  <c r="O162"/>
  <c r="O161" s="1"/>
  <c r="N162"/>
  <c r="M162"/>
  <c r="L162"/>
  <c r="J162"/>
  <c r="J161" s="1"/>
  <c r="M161"/>
  <c r="K160"/>
  <c r="K159" s="1"/>
  <c r="K158" s="1"/>
  <c r="O159"/>
  <c r="O158" s="1"/>
  <c r="N159"/>
  <c r="M159"/>
  <c r="M158" s="1"/>
  <c r="L159"/>
  <c r="L158" s="1"/>
  <c r="J159"/>
  <c r="J158" s="1"/>
  <c r="N158"/>
  <c r="K157"/>
  <c r="K156"/>
  <c r="O155"/>
  <c r="N155"/>
  <c r="N152" s="1"/>
  <c r="M155"/>
  <c r="L155"/>
  <c r="J155"/>
  <c r="K154"/>
  <c r="K153" s="1"/>
  <c r="O153"/>
  <c r="N153"/>
  <c r="M153"/>
  <c r="L153"/>
  <c r="J153"/>
  <c r="O152"/>
  <c r="M152"/>
  <c r="L152"/>
  <c r="K151"/>
  <c r="K150"/>
  <c r="K149"/>
  <c r="K148"/>
  <c r="O147"/>
  <c r="O131" s="1"/>
  <c r="O129" s="1"/>
  <c r="N147"/>
  <c r="N131" s="1"/>
  <c r="N129" s="1"/>
  <c r="M147"/>
  <c r="M131" s="1"/>
  <c r="M129" s="1"/>
  <c r="L147"/>
  <c r="J147"/>
  <c r="K146"/>
  <c r="K145"/>
  <c r="K144"/>
  <c r="K143"/>
  <c r="K142"/>
  <c r="K141"/>
  <c r="K140"/>
  <c r="K139"/>
  <c r="K138"/>
  <c r="K137"/>
  <c r="K136"/>
  <c r="K135"/>
  <c r="K134" s="1"/>
  <c r="O134"/>
  <c r="N134"/>
  <c r="M134"/>
  <c r="L134"/>
  <c r="J134"/>
  <c r="K133"/>
  <c r="K132" s="1"/>
  <c r="O132"/>
  <c r="N132"/>
  <c r="M132"/>
  <c r="J132"/>
  <c r="K130"/>
  <c r="K127"/>
  <c r="K126"/>
  <c r="O125"/>
  <c r="O124" s="1"/>
  <c r="N125"/>
  <c r="N124" s="1"/>
  <c r="M125"/>
  <c r="M124" s="1"/>
  <c r="L125"/>
  <c r="J125"/>
  <c r="J124" s="1"/>
  <c r="L124"/>
  <c r="K123"/>
  <c r="K122"/>
  <c r="O121"/>
  <c r="O118" s="1"/>
  <c r="N121"/>
  <c r="M121"/>
  <c r="L121"/>
  <c r="J121"/>
  <c r="K120"/>
  <c r="J120"/>
  <c r="O119"/>
  <c r="N119"/>
  <c r="M119"/>
  <c r="L119"/>
  <c r="L118" s="1"/>
  <c r="K119"/>
  <c r="J119"/>
  <c r="M118"/>
  <c r="J118"/>
  <c r="K116"/>
  <c r="K115"/>
  <c r="K114"/>
  <c r="O113"/>
  <c r="N113"/>
  <c r="M113"/>
  <c r="L113"/>
  <c r="J113"/>
  <c r="K112"/>
  <c r="K111" s="1"/>
  <c r="O111"/>
  <c r="N111"/>
  <c r="M111"/>
  <c r="L111"/>
  <c r="J111"/>
  <c r="K110"/>
  <c r="K109"/>
  <c r="O108"/>
  <c r="N108"/>
  <c r="M108"/>
  <c r="L108"/>
  <c r="J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O50"/>
  <c r="N50"/>
  <c r="M50"/>
  <c r="L50"/>
  <c r="J50"/>
  <c r="K49"/>
  <c r="K48"/>
  <c r="O47"/>
  <c r="N47"/>
  <c r="M47"/>
  <c r="L47"/>
  <c r="J47"/>
  <c r="O46"/>
  <c r="K44"/>
  <c r="K43"/>
  <c r="K42" s="1"/>
  <c r="K41" s="1"/>
  <c r="O42"/>
  <c r="N42"/>
  <c r="M42"/>
  <c r="L42"/>
  <c r="J42"/>
  <c r="O41"/>
  <c r="N41"/>
  <c r="M41"/>
  <c r="L41"/>
  <c r="J41"/>
  <c r="K40"/>
  <c r="K39" s="1"/>
  <c r="K38" s="1"/>
  <c r="O39"/>
  <c r="N39"/>
  <c r="N38" s="1"/>
  <c r="M39"/>
  <c r="L39"/>
  <c r="J39"/>
  <c r="J38" s="1"/>
  <c r="O38"/>
  <c r="M38"/>
  <c r="L38"/>
  <c r="K37"/>
  <c r="K36" s="1"/>
  <c r="O36"/>
  <c r="N36"/>
  <c r="M36"/>
  <c r="L36"/>
  <c r="J36"/>
  <c r="K35"/>
  <c r="K34" s="1"/>
  <c r="O34"/>
  <c r="N34"/>
  <c r="M34"/>
  <c r="L34"/>
  <c r="J34"/>
  <c r="K33"/>
  <c r="K32" s="1"/>
  <c r="O32"/>
  <c r="N32"/>
  <c r="M32"/>
  <c r="L32"/>
  <c r="J32"/>
  <c r="K31"/>
  <c r="K30"/>
  <c r="K29"/>
  <c r="K28"/>
  <c r="K27"/>
  <c r="K26"/>
  <c r="K25"/>
  <c r="K24"/>
  <c r="N23"/>
  <c r="M23"/>
  <c r="L23"/>
  <c r="J23"/>
  <c r="K21"/>
  <c r="K22"/>
  <c r="K20"/>
  <c r="K19"/>
  <c r="O17"/>
  <c r="N17"/>
  <c r="M17"/>
  <c r="L17"/>
  <c r="J17"/>
  <c r="D80"/>
  <c r="D92"/>
  <c r="D94"/>
  <c r="F64"/>
  <c r="D25"/>
  <c r="D30"/>
  <c r="G28"/>
  <c r="G27"/>
  <c r="G24"/>
  <c r="D98"/>
  <c r="D97"/>
  <c r="D96"/>
  <c r="D95"/>
  <c r="D93"/>
  <c r="D91"/>
  <c r="D90"/>
  <c r="D89"/>
  <c r="D88"/>
  <c r="D87"/>
  <c r="D86"/>
  <c r="D85"/>
  <c r="D84"/>
  <c r="D82"/>
  <c r="D81"/>
  <c r="D65"/>
  <c r="D62"/>
  <c r="D157"/>
  <c r="F100"/>
  <c r="F78"/>
  <c r="F77"/>
  <c r="F75"/>
  <c r="F74"/>
  <c r="F73"/>
  <c r="F71"/>
  <c r="F68"/>
  <c r="F67"/>
  <c r="F55"/>
  <c r="F54"/>
  <c r="F53"/>
  <c r="F52"/>
  <c r="F51"/>
  <c r="K181" l="1"/>
  <c r="K180"/>
  <c r="K167"/>
  <c r="K166" s="1"/>
  <c r="K155"/>
  <c r="K152"/>
  <c r="K147"/>
  <c r="O16"/>
  <c r="O189" s="1"/>
  <c r="M16"/>
  <c r="M189" s="1"/>
  <c r="N16"/>
  <c r="M46"/>
  <c r="N118"/>
  <c r="L161"/>
  <c r="N161"/>
  <c r="K161"/>
  <c r="K131"/>
  <c r="K121"/>
  <c r="K118" s="1"/>
  <c r="K113"/>
  <c r="L46"/>
  <c r="K108"/>
  <c r="N46"/>
  <c r="J46"/>
  <c r="K47"/>
  <c r="L16"/>
  <c r="J152"/>
  <c r="K173"/>
  <c r="K172" s="1"/>
  <c r="K23"/>
  <c r="K125"/>
  <c r="K124" s="1"/>
  <c r="J131"/>
  <c r="J128" s="1"/>
  <c r="K128"/>
  <c r="J16"/>
  <c r="K50"/>
  <c r="K46" s="1"/>
  <c r="K17"/>
  <c r="L132"/>
  <c r="L131" s="1"/>
  <c r="L178"/>
  <c r="L177" s="1"/>
  <c r="D116"/>
  <c r="D112"/>
  <c r="H184"/>
  <c r="H183"/>
  <c r="H182"/>
  <c r="K16" l="1"/>
  <c r="N189"/>
  <c r="L189"/>
  <c r="J189"/>
  <c r="K189"/>
  <c r="D148"/>
  <c r="I186"/>
  <c r="D175"/>
  <c r="G173"/>
  <c r="H173"/>
  <c r="I173"/>
  <c r="D173"/>
  <c r="D181"/>
  <c r="D172"/>
  <c r="E175"/>
  <c r="F181"/>
  <c r="G181"/>
  <c r="H181"/>
  <c r="I181"/>
  <c r="E187"/>
  <c r="D123"/>
  <c r="F143"/>
  <c r="F145"/>
  <c r="F144"/>
  <c r="D142"/>
  <c r="F108" l="1"/>
  <c r="G108"/>
  <c r="H108"/>
  <c r="I108"/>
  <c r="D108"/>
  <c r="E110"/>
  <c r="E165"/>
  <c r="E164" s="1"/>
  <c r="I164"/>
  <c r="H164"/>
  <c r="G164"/>
  <c r="F164"/>
  <c r="F33"/>
  <c r="F21"/>
  <c r="F163"/>
  <c r="H179"/>
  <c r="F179"/>
  <c r="D171"/>
  <c r="D117"/>
  <c r="D115"/>
  <c r="E104"/>
  <c r="E105"/>
  <c r="E106"/>
  <c r="E107"/>
  <c r="F103"/>
  <c r="E103"/>
  <c r="D19"/>
  <c r="F126"/>
  <c r="F101"/>
  <c r="E102"/>
  <c r="D49"/>
  <c r="D48"/>
  <c r="E188" l="1"/>
  <c r="E186"/>
  <c r="D151" l="1"/>
  <c r="D44"/>
  <c r="D43"/>
  <c r="D45"/>
  <c r="F127"/>
  <c r="F63"/>
  <c r="F17"/>
  <c r="G17"/>
  <c r="H17"/>
  <c r="I17"/>
  <c r="E21"/>
  <c r="F129" l="1"/>
  <c r="E130"/>
  <c r="F128"/>
  <c r="D128"/>
  <c r="E62" l="1"/>
  <c r="E61"/>
  <c r="E60"/>
  <c r="E59"/>
  <c r="E58"/>
  <c r="E77"/>
  <c r="E76"/>
  <c r="F79"/>
  <c r="F72"/>
  <c r="F70"/>
  <c r="F69"/>
  <c r="F66"/>
  <c r="F57"/>
  <c r="F56"/>
  <c r="F174" l="1"/>
  <c r="F173" s="1"/>
  <c r="D168"/>
  <c r="F141"/>
  <c r="F136"/>
  <c r="E136" s="1"/>
  <c r="F140"/>
  <c r="F139"/>
  <c r="F138"/>
  <c r="F137"/>
  <c r="D180"/>
  <c r="E185"/>
  <c r="E28"/>
  <c r="E27"/>
  <c r="D154"/>
  <c r="E37"/>
  <c r="E36" s="1"/>
  <c r="I36"/>
  <c r="H36"/>
  <c r="G36"/>
  <c r="F36"/>
  <c r="D36"/>
  <c r="D83"/>
  <c r="D50" s="1"/>
  <c r="D120"/>
  <c r="E184"/>
  <c r="E183"/>
  <c r="E182"/>
  <c r="E109"/>
  <c r="E108" s="1"/>
  <c r="D150"/>
  <c r="E72"/>
  <c r="I23"/>
  <c r="I34"/>
  <c r="I32"/>
  <c r="I39"/>
  <c r="I38" s="1"/>
  <c r="I42"/>
  <c r="I41" s="1"/>
  <c r="I47"/>
  <c r="I50"/>
  <c r="I111"/>
  <c r="I113"/>
  <c r="I119"/>
  <c r="I121"/>
  <c r="I118" s="1"/>
  <c r="I125"/>
  <c r="I124" s="1"/>
  <c r="I132"/>
  <c r="I134"/>
  <c r="I147"/>
  <c r="I153"/>
  <c r="I155"/>
  <c r="I152" s="1"/>
  <c r="I159"/>
  <c r="I158" s="1"/>
  <c r="I162"/>
  <c r="I161" s="1"/>
  <c r="I167"/>
  <c r="I170"/>
  <c r="I172"/>
  <c r="I178"/>
  <c r="I177" s="1"/>
  <c r="I180"/>
  <c r="E68"/>
  <c r="E51"/>
  <c r="E52"/>
  <c r="E53"/>
  <c r="E54"/>
  <c r="E55"/>
  <c r="E56"/>
  <c r="E57"/>
  <c r="E63"/>
  <c r="E64"/>
  <c r="E65"/>
  <c r="E66"/>
  <c r="E67"/>
  <c r="E69"/>
  <c r="E70"/>
  <c r="E71"/>
  <c r="E73"/>
  <c r="E74"/>
  <c r="E75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48"/>
  <c r="E49"/>
  <c r="E47" s="1"/>
  <c r="E112"/>
  <c r="E111" s="1"/>
  <c r="E114"/>
  <c r="E115"/>
  <c r="E116"/>
  <c r="E18"/>
  <c r="E19"/>
  <c r="E20"/>
  <c r="E22"/>
  <c r="E24"/>
  <c r="E25"/>
  <c r="E26"/>
  <c r="E29"/>
  <c r="E30"/>
  <c r="E31"/>
  <c r="E35"/>
  <c r="E34"/>
  <c r="E33"/>
  <c r="E32" s="1"/>
  <c r="E40"/>
  <c r="E39" s="1"/>
  <c r="E38" s="1"/>
  <c r="E43"/>
  <c r="E44"/>
  <c r="E120"/>
  <c r="E119" s="1"/>
  <c r="E122"/>
  <c r="E123"/>
  <c r="E126"/>
  <c r="E127"/>
  <c r="F133"/>
  <c r="E133" s="1"/>
  <c r="E132" s="1"/>
  <c r="E135"/>
  <c r="E137"/>
  <c r="E138"/>
  <c r="E139"/>
  <c r="E140"/>
  <c r="E141"/>
  <c r="E142"/>
  <c r="E143"/>
  <c r="E144"/>
  <c r="E145"/>
  <c r="E146"/>
  <c r="E148"/>
  <c r="E149"/>
  <c r="E150"/>
  <c r="E151"/>
  <c r="E154"/>
  <c r="E153" s="1"/>
  <c r="E156"/>
  <c r="E157"/>
  <c r="E160"/>
  <c r="E159" s="1"/>
  <c r="E158" s="1"/>
  <c r="E163"/>
  <c r="E162" s="1"/>
  <c r="E161" s="1"/>
  <c r="E168"/>
  <c r="E169"/>
  <c r="E171"/>
  <c r="E170" s="1"/>
  <c r="E174"/>
  <c r="E176"/>
  <c r="E179"/>
  <c r="E178" s="1"/>
  <c r="E177" s="1"/>
  <c r="H23"/>
  <c r="H34"/>
  <c r="H32"/>
  <c r="H39"/>
  <c r="H38" s="1"/>
  <c r="H42"/>
  <c r="H41" s="1"/>
  <c r="H47"/>
  <c r="H50"/>
  <c r="H111"/>
  <c r="H113"/>
  <c r="H119"/>
  <c r="H121"/>
  <c r="H125"/>
  <c r="H124" s="1"/>
  <c r="H132"/>
  <c r="H134"/>
  <c r="H147"/>
  <c r="H153"/>
  <c r="H155"/>
  <c r="H159"/>
  <c r="H158" s="1"/>
  <c r="H162"/>
  <c r="H161" s="1"/>
  <c r="H167"/>
  <c r="H170"/>
  <c r="H172"/>
  <c r="H178"/>
  <c r="H177" s="1"/>
  <c r="H180"/>
  <c r="F50"/>
  <c r="F47"/>
  <c r="F111"/>
  <c r="F113"/>
  <c r="F23"/>
  <c r="F34"/>
  <c r="F32"/>
  <c r="F39"/>
  <c r="F38" s="1"/>
  <c r="F42"/>
  <c r="F41" s="1"/>
  <c r="F119"/>
  <c r="F121"/>
  <c r="F118" s="1"/>
  <c r="F125"/>
  <c r="F124" s="1"/>
  <c r="F132"/>
  <c r="F134"/>
  <c r="F147"/>
  <c r="F153"/>
  <c r="F155"/>
  <c r="F159"/>
  <c r="F158" s="1"/>
  <c r="F162"/>
  <c r="F161" s="1"/>
  <c r="F167"/>
  <c r="F170"/>
  <c r="F172"/>
  <c r="F178"/>
  <c r="F177" s="1"/>
  <c r="F180"/>
  <c r="D47"/>
  <c r="D111"/>
  <c r="D113"/>
  <c r="D17"/>
  <c r="D23"/>
  <c r="D34"/>
  <c r="D32"/>
  <c r="D39"/>
  <c r="D38" s="1"/>
  <c r="D42"/>
  <c r="D41" s="1"/>
  <c r="D119"/>
  <c r="D122"/>
  <c r="D121" s="1"/>
  <c r="D118" s="1"/>
  <c r="D125"/>
  <c r="D124" s="1"/>
  <c r="D132"/>
  <c r="D134"/>
  <c r="D149"/>
  <c r="D147" s="1"/>
  <c r="D153"/>
  <c r="D156"/>
  <c r="D159"/>
  <c r="D158" s="1"/>
  <c r="D162"/>
  <c r="D161" s="1"/>
  <c r="D169"/>
  <c r="D167" s="1"/>
  <c r="D170"/>
  <c r="D178"/>
  <c r="D177" s="1"/>
  <c r="G134"/>
  <c r="G132"/>
  <c r="G147"/>
  <c r="G50"/>
  <c r="G47"/>
  <c r="G111"/>
  <c r="G113"/>
  <c r="G23"/>
  <c r="G34"/>
  <c r="G32"/>
  <c r="G39"/>
  <c r="G38" s="1"/>
  <c r="G42"/>
  <c r="G41" s="1"/>
  <c r="G119"/>
  <c r="G121"/>
  <c r="G125"/>
  <c r="G124" s="1"/>
  <c r="G153"/>
  <c r="G155"/>
  <c r="G159"/>
  <c r="G158" s="1"/>
  <c r="G162"/>
  <c r="G161" s="1"/>
  <c r="G167"/>
  <c r="G170"/>
  <c r="G172"/>
  <c r="G178"/>
  <c r="G177" s="1"/>
  <c r="G180"/>
  <c r="G166" l="1"/>
  <c r="G152"/>
  <c r="H166"/>
  <c r="F166"/>
  <c r="F152"/>
  <c r="E42"/>
  <c r="E41" s="1"/>
  <c r="G118"/>
  <c r="E173"/>
  <c r="E172" s="1"/>
  <c r="E167"/>
  <c r="E166" s="1"/>
  <c r="E155"/>
  <c r="E181"/>
  <c r="E180" s="1"/>
  <c r="D166"/>
  <c r="D155"/>
  <c r="D152" s="1"/>
  <c r="H152"/>
  <c r="H118"/>
  <c r="E147"/>
  <c r="E121"/>
  <c r="I166"/>
  <c r="D131"/>
  <c r="E134"/>
  <c r="E131" s="1"/>
  <c r="E125"/>
  <c r="E124" s="1"/>
  <c r="E17"/>
  <c r="G131"/>
  <c r="G129" s="1"/>
  <c r="E152"/>
  <c r="E118"/>
  <c r="I131"/>
  <c r="I129" s="1"/>
  <c r="I128" s="1"/>
  <c r="H131"/>
  <c r="H129" s="1"/>
  <c r="H128" s="1"/>
  <c r="E128"/>
  <c r="G128"/>
  <c r="F131"/>
  <c r="I46"/>
  <c r="G16"/>
  <c r="G46"/>
  <c r="D16"/>
  <c r="F16"/>
  <c r="F46"/>
  <c r="H46"/>
  <c r="H16"/>
  <c r="E23"/>
  <c r="E113"/>
  <c r="I16"/>
  <c r="I189" s="1"/>
  <c r="E50"/>
  <c r="E16" l="1"/>
  <c r="E46"/>
  <c r="E189"/>
  <c r="F189"/>
  <c r="H189"/>
  <c r="G189"/>
  <c r="D46"/>
  <c r="D189" s="1"/>
</calcChain>
</file>

<file path=xl/sharedStrings.xml><?xml version="1.0" encoding="utf-8"?>
<sst xmlns="http://schemas.openxmlformats.org/spreadsheetml/2006/main" count="279" uniqueCount="239">
  <si>
    <t>Rozdz.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</si>
  <si>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</si>
  <si>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</si>
  <si>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</si>
  <si>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</si>
  <si>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</si>
  <si>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Informatyzacja Zarządu Melioracji i Urządzeń Wodnych w Olsztynie</t>
  </si>
  <si>
    <t>Planowane wydatki na inwestycje wieloletnie przewidziane do realizacji 
w 2011 roku</t>
  </si>
  <si>
    <t>środki pochodzące ze środków UE</t>
  </si>
  <si>
    <t xml:space="preserve">środki własne                   </t>
  </si>
  <si>
    <t>Rolnictwo i łowiectwo</t>
  </si>
  <si>
    <t>01006</t>
  </si>
  <si>
    <t>Dokumentacja przyszłościowa i inne pilne opracowania projektowe, operaty wodno-prawne oraz koszty obsługi realizowanych zadań (nadzory autorskie i specjalistyczne itp.)</t>
  </si>
  <si>
    <t>dotacje z budżetu państwa</t>
  </si>
  <si>
    <t>Melioracje wodne - wydatki majątkowe (inwestycyjne)</t>
  </si>
  <si>
    <t>Program Rozwoju Obszarów Wiejskich 2007-2013</t>
  </si>
  <si>
    <t>Zakup kosiarki pływającej</t>
  </si>
  <si>
    <t>Wydatki na zakupy inwestycyjne</t>
  </si>
  <si>
    <t>Urząd Marszałkowski</t>
  </si>
  <si>
    <t>01041</t>
  </si>
  <si>
    <t>Nazwa zadania inwestycyjnego 
realizowanego w 2011 roku</t>
  </si>
  <si>
    <t>050</t>
  </si>
  <si>
    <t>05011</t>
  </si>
  <si>
    <t>150</t>
  </si>
  <si>
    <t>15013</t>
  </si>
  <si>
    <t>Monitoring RIS Warmia Mazury</t>
  </si>
  <si>
    <t>Program Operacyjny Kapitał Ludzki</t>
  </si>
  <si>
    <t>600</t>
  </si>
  <si>
    <t>60001</t>
  </si>
  <si>
    <t>Usługa leasingu finansowego 3 szt. dwuczłonowych autobusów szynowych</t>
  </si>
  <si>
    <t>60013</t>
  </si>
  <si>
    <t>Zarząd Dróg Wojewódzkich w Olsztynie</t>
  </si>
  <si>
    <t>Budowa chodnika w ciągu drogi nr 656 w Zelkach (2011)</t>
  </si>
  <si>
    <t>Budowa kładki dla pieszych w ciągu drogi nr 542 w msc. Burkat (2011)</t>
  </si>
  <si>
    <t>Docieplenie pomieszczeń biurowych</t>
  </si>
  <si>
    <t>Dokumentacje techniczne (2011-2013)</t>
  </si>
  <si>
    <t>Przebudowa dwóch przepustów w ciągu drogi nr 604 koło Wichrowca (2011)</t>
  </si>
  <si>
    <t>Przebudowa mostu na przepust w ciągu drogi nr 604 koło Wichrowca (2011)</t>
  </si>
  <si>
    <t>Przebudowa przepustu betonowego na stalowy w ciągu drogi nr 651 koło msc. Przesławki (2011)</t>
  </si>
  <si>
    <t>Przebudowa przepustu kamienno-ceglanego na stalowy w ciągu drogi nr 651 w Zawiszynie (2011)</t>
  </si>
  <si>
    <t>Przebudowa przepustu kamienno-płytowego na stalowy w ciągu drogi nr 604 koło Jagarzewa (2011)</t>
  </si>
  <si>
    <t>Przebudowa trzech przepustów w ciągu drogi nr 604 koło Puchałowa (2011)</t>
  </si>
  <si>
    <t>Rozbiórka wiaduktu w Morągu w ciągu drogi nr 527 (2011)</t>
  </si>
  <si>
    <t>Wykonanie klimatyzacji w pomieszczeniach RDW Kętrzyn, Nidzica, Olecko i ZDW Olsztyn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</si>
  <si>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</si>
  <si>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</si>
  <si>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</si>
  <si>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</si>
  <si>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</si>
  <si>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</si>
  <si>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526 na odcinku Śliwica - Kąty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</si>
  <si>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</si>
  <si>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</si>
  <si>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</si>
  <si>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</si>
  <si>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</si>
  <si>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</si>
  <si>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</si>
  <si>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</si>
  <si>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</si>
  <si>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</si>
  <si>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Sieć Szerokopasmowa Polski Wschodniej</t>
  </si>
  <si>
    <t>60095</t>
  </si>
  <si>
    <t>Data Center "Wrota Warmii i Mazur" Cyfrowy Urząd</t>
  </si>
  <si>
    <t>630</t>
  </si>
  <si>
    <t>63001</t>
  </si>
  <si>
    <t>Modernizacja i rozbudowa regionalnego systemu informacji turystycznej</t>
  </si>
  <si>
    <t>63003</t>
  </si>
  <si>
    <t>Trasy rowerowe</t>
  </si>
  <si>
    <t>Portal turystyczny Warmia - Mazury</t>
  </si>
  <si>
    <t>700</t>
  </si>
  <si>
    <t>70005</t>
  </si>
  <si>
    <t>Zakup nieruchomości, w trybie kodeksu cywilnego, na potrzeby budowy lub modernizacji dróg wojewódzkich</t>
  </si>
  <si>
    <t>750</t>
  </si>
  <si>
    <t>75018</t>
  </si>
  <si>
    <t>75017</t>
  </si>
  <si>
    <t>Centrala telefoniczna</t>
  </si>
  <si>
    <t>Sprzęt komputerowy</t>
  </si>
  <si>
    <t>System archiwizacji danych</t>
  </si>
  <si>
    <t>Zakup samochodu osobowego</t>
  </si>
  <si>
    <t>75095</t>
  </si>
  <si>
    <t xml:space="preserve">Pomoc Techniczna  </t>
  </si>
  <si>
    <t>Profesjonalny Urząd Administracji Samorządowej</t>
  </si>
  <si>
    <t>801</t>
  </si>
  <si>
    <t>80130</t>
  </si>
  <si>
    <t>Dialog bez barier-transgranicznych inicjatywa rozwoju nowych form kształcenia połączona z modernizacją infrastruktury edukacyjnej partnerów projektu</t>
  </si>
  <si>
    <t>e-Pedagogiczne Centrum Informacji Edukacyjnej Warmii i Mazur</t>
  </si>
  <si>
    <t>80147</t>
  </si>
  <si>
    <t>851</t>
  </si>
  <si>
    <t>85154</t>
  </si>
  <si>
    <t>Zakupy inwestycyjne na potrzeby Biura ds. Uzależnień oraz związane ze wspieraniem innych jednostek na zasadzie użyczenia</t>
  </si>
  <si>
    <t>852</t>
  </si>
  <si>
    <t>85212</t>
  </si>
  <si>
    <t>853</t>
  </si>
  <si>
    <t>85332</t>
  </si>
  <si>
    <t>Program Operacyjny Kapitał Ludzki Pomoc Techniczna</t>
  </si>
  <si>
    <t>85395</t>
  </si>
  <si>
    <t>854</t>
  </si>
  <si>
    <t>85410</t>
  </si>
  <si>
    <t>Dobudowa kuchni i jadalni przy obiekcie internatu</t>
  </si>
  <si>
    <t>Rewitalizacja zabytkowego budynku Internatu przy ulicy Mariańskiej 3 w Olsztynie</t>
  </si>
  <si>
    <t>900</t>
  </si>
  <si>
    <t>90002</t>
  </si>
  <si>
    <t>Likwidacja składowisk odpadów niebezpiecznych zawierających odpady niebezpieczne zlokalizowanych na terenie województwa warmińsko-mazurskiego</t>
  </si>
  <si>
    <t>925</t>
  </si>
  <si>
    <t>92502</t>
  </si>
  <si>
    <t>Zakup projektora multimedialnego</t>
  </si>
  <si>
    <t xml:space="preserve">Zespół Parków Krajobrazowych Pojezierza Iławskiego i Wzgórz Dylewskich </t>
  </si>
  <si>
    <t>Zarządy melioracji i urządzeń wodnych</t>
  </si>
  <si>
    <t>Melioracje wodne</t>
  </si>
  <si>
    <t>Rybołówstwo i rybactwo</t>
  </si>
  <si>
    <t>Przetwórstwo przemysłowe</t>
  </si>
  <si>
    <t>Rozwój kadr nowoczesnej gospodarki i przedsiębiorczości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</si>
  <si>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</si>
  <si>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</si>
  <si>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</si>
  <si>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</si>
  <si>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</si>
  <si>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Turystyka</t>
  </si>
  <si>
    <t>Ośrodki informacji turystycznej</t>
  </si>
  <si>
    <t>Zadania w zakresie upowszechniania turystyki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</si>
  <si>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</si>
  <si>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</si>
  <si>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</si>
  <si>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</si>
  <si>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</si>
  <si>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Oświata i wychowanie</t>
  </si>
  <si>
    <t>Szkoły zawodowe</t>
  </si>
  <si>
    <t>Biblioteki pedagogiczne</t>
  </si>
  <si>
    <t>Ochrona zdrowia</t>
  </si>
  <si>
    <t>Przeciwdziałanie alkoholizmowi</t>
  </si>
  <si>
    <t>Pomoc społeczna</t>
  </si>
  <si>
    <t>Pozostałe zadania w zakresie polityki społecznej</t>
  </si>
  <si>
    <t>Wojewódzkie urzędy pracy</t>
  </si>
  <si>
    <t>Edukacyjna opieka wychowawcza</t>
  </si>
  <si>
    <t>Internaty i bursy szkolne</t>
  </si>
  <si>
    <t>Gospodarka komunalna i ochrona środowiska</t>
  </si>
  <si>
    <t>Gospodarka odpadami</t>
  </si>
  <si>
    <t>Parki krajobrazowe</t>
  </si>
  <si>
    <t>01042</t>
  </si>
  <si>
    <t>Wyłączenie z produkcji gruntów rolnych</t>
  </si>
  <si>
    <t>w zł</t>
  </si>
  <si>
    <t>Dz.</t>
  </si>
  <si>
    <t>Modernizacja budynku siedziby Biura Regionalnego w Elblągu 
ul. Zacisze 18</t>
  </si>
  <si>
    <t>Wykonanie klimatyzacji w budynku Zarządu Melioracji 
i Urządzeń Wodnych w Olsztynie</t>
  </si>
  <si>
    <t>Modernizacja części poddasza budynku przy ul. Wojska Polskiego 1 - roboty dodatkowe</t>
  </si>
  <si>
    <t>Rok 
budżetowy 2011
(6 do 9)</t>
  </si>
  <si>
    <t>Budowa chodnika i zatoki autobusowej w ciągu drogi nr 504 
w msc. Piastowo  (2011)</t>
  </si>
  <si>
    <t>Budowa chodnika i zatoki autobusowej w ciągu drogi nr 504 
w msc. Pogrodzie (2011)</t>
  </si>
  <si>
    <t>Przebudowa przepustu k/m. Jeziorany w ciągu drogi nr 593</t>
  </si>
  <si>
    <t>Ogółem</t>
  </si>
  <si>
    <t>60014</t>
  </si>
  <si>
    <t>Drogi publiczne powiatowe</t>
  </si>
  <si>
    <t>Przebudowa chodników w obrębie starówki Miasta Reszel</t>
  </si>
  <si>
    <t>Doposażenie sali edukacyjnej Welskiego Parku Krajobrazowego</t>
  </si>
  <si>
    <t>Welski Park Krajobrazowy w Jeleniu</t>
  </si>
  <si>
    <t>Doposażenie służby Welskiego Parku Krajobrazowego</t>
  </si>
  <si>
    <t>Czynna ochrona na obszarach prawnie chronionych</t>
  </si>
  <si>
    <t>01095</t>
  </si>
  <si>
    <t>Wykupy gruntów zajętych pod wodami płynącymi</t>
  </si>
  <si>
    <t>Wykonanie dokumentacji w ramach projektu "Kompleksowe zabezpieczenie przeciwpowodziowe Żuław - Etap I - Żuławski Zarząd Melioracji i Urządzeń Wodnych w Elblągu"</t>
  </si>
  <si>
    <t xml:space="preserve">Program Rozwoju Obszarów Wiejskich 2007-2013 </t>
  </si>
  <si>
    <t>Sprzęt drukująco-kopiujący</t>
  </si>
  <si>
    <t>Modernizacja budynku siedziby Biura Regionalnego w Elblągu 
ul. Zacisze 18 - roboty dodatkowe</t>
  </si>
  <si>
    <t>Modernizacja i przebudowa części poddasza budynku przy 
ul. Wojska Polskiego 1 w Elblągu z przeznaczeniem na Filię Warmińsko-Mazurskiego Biura Planowania Przestrzennego</t>
  </si>
  <si>
    <t>Ogrody botaniczne i zoologiczne oraz naturalne obszary 
i obiekty chronionej przyrody</t>
  </si>
  <si>
    <t>Program Współpracy Transgranicznej Litwa-Polska-Rosja 
2007-2013</t>
  </si>
  <si>
    <t>Zakup oprogramowania do obsługi świadczeń rodzinnych 
i świadczeń z funduszu alimentacyjnego</t>
  </si>
  <si>
    <t xml:space="preserve">Modernizacja i wyposażenie laboratorium anatomicznego, sali medyczno-higienicznej oraz sali propedeutyki stomatologicznej 
w Szkole Policealnej im. Jadwigi Romanowskiej w Elblągu </t>
  </si>
  <si>
    <t>Kluczowe wyzwania dla województw Polski Wschodniej 
w przyszłym okresie programowania - analizy rozwoju sytuacji, plany adaptacji i stworzenie systemu stałej współpracy</t>
  </si>
  <si>
    <t>II rata za nieruchomość gruntową zabudowaną położoną 
w Olsztynie przy ul. GŁOWACKIEGO 17</t>
  </si>
  <si>
    <t>Rozbudowa skrzyżowania ulic Dąbrowskiego (droga 519) i 3 Maja (droga 527) w Morągu wraz z odcinkiem ul. Dąbrowskiego 
(2010-2011)</t>
  </si>
  <si>
    <t>Roboty budowlane - Wykonanie czynności naprawczych rurociągu na rzece Struga Orzyc Duży na odcinku 0+000-0+270, 
gm. Barczewo, woj. warmińsko-mazurskie</t>
  </si>
  <si>
    <t>Wykup gruntów zajętych pod urządzenia melioracji wodnych wraz 
z kosztami towarzyszącymi</t>
  </si>
  <si>
    <t>Wydatki na zakupy inwestycyjne, w tym: zakup i instalacja sprzętu komputerowego i oprogramowania, drukarek w ramach PROW 
2007-2013</t>
  </si>
  <si>
    <t>Program Operacyjny Zrównoważony rozwój sektora rybołówstwa 
i nadbrzeżnych obszarów rybackich 2007-2013</t>
  </si>
  <si>
    <t>Zakup komputerów i laptopów z oprogramowaniem, sprzętu drukarskiego, aparatu, fotograficznego, rzutnika multimedialnego 
i innych środków trwałych o wartości powyżej 3.500 zł</t>
  </si>
  <si>
    <t>Budowa chodnika i zatoki autobusowej w ciągu drogi nr 527 
w msc. Krosno (2011)</t>
  </si>
  <si>
    <t>Budowa i przebudowa chodnika przy ul. Kościuszki w Biskupcu 
w ciągu drogi nr 596 (2011)</t>
  </si>
  <si>
    <t>Przebudowa drogi wojewódzkiej nr 591 na odcinku 
Kętrzyn - Mrągowo</t>
  </si>
  <si>
    <t>Przebudowa dwóch przepustów w ciągu drogi nr 544 koło 
msc. Mansfeldy i Kraszewo (2011)</t>
  </si>
  <si>
    <t>Przebudowa skrzyżowania wraz z budową chodnika przy 
ul. Kopernika w ciągu drogi nr 593 w Miłakowie (2011)</t>
  </si>
  <si>
    <t>Przebudowa trzech przepustów w ciągu drogi nr 542 koło 
msc. Uzdowo i Filice (2011)</t>
  </si>
  <si>
    <t>Rozbiórka starego i budowa nowego mostu w ciągu drogi nr 508 
w msc. Rekownica (2010-2011)</t>
  </si>
  <si>
    <t>Rozbudowa drogi wojewódzkiej nr 527 na odcinku Rychliki - Jelonki (2010-2012)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</si>
  <si>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</si>
  <si>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</si>
  <si>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Modernizacja i rozbudowa Centrum Zarządzania Siecią w Urzędzie Marszałkowskim Województwa Warmińsko-Mazurskiego 
w Olsztynie</t>
  </si>
  <si>
    <t>Pomoc Techniczna - Funkcjonowanie filii Wspólnego Sekretariatu Technicznego Programu w Urzędzie Marszałkowskim Woj. W-M</t>
  </si>
  <si>
    <t>Funkcjonowanie Regionalnego Punktu Kontaktowego Programu Litwa-Polska w Urzędzie Marszałkowskim Woj. W-M</t>
  </si>
  <si>
    <t>Świadczenia rodzinne, świadczenia z funduszu alimentacyjnego oraz składki na ubezpieczenia emerytalne i rentowe 
z ubezpieczenia społecznego</t>
  </si>
  <si>
    <t>Grono Menadżerów 2 - sieć współpracy i wymiany informacji między naukowcami a przedsiębiorcami w województwie warmińsko-mazurskim</t>
  </si>
  <si>
    <t>Budowa ciągu pieszo-rowerowego od m. Olecko do Terenów Aktywności Gospodarczej - ul. Kościuszki, w ciągu drogi nr 655
(2009-2012)</t>
  </si>
  <si>
    <t>Przebudowa drogi, przepustu i kładki w m. Mostkowo w ciągu drogi 
nr 530 (2009-2011)</t>
  </si>
  <si>
    <t>Rozbudowa infrastruktury szerokopasmowego dostępu do internetu 
i sieci PIAP-ów w województwie warmińsko-mazurskim</t>
  </si>
  <si>
    <t>Park Krajobrazowy Wysoczyzny Elbląskiej 
w Elblągu</t>
  </si>
  <si>
    <t>Szkoła Policealna 
w Olsztynie</t>
  </si>
  <si>
    <t>Zespół Szkół z Ukraińskim Językiem Nauczania 
w Górowie Iławeckim</t>
  </si>
  <si>
    <t>Wojewódzki Urząd Pracy 
w Olsztynie</t>
  </si>
  <si>
    <t>Biblioteka Pedagogiczna 
w Olsztynie</t>
  </si>
  <si>
    <t>Biblioteka Pedagogiczna 
w Elblągu</t>
  </si>
  <si>
    <t>Szkoła Policealna 
w Elblągu</t>
  </si>
  <si>
    <t>Żuławski Zarząd Melioracji 
i Urządzeń Wodnych 
w Elblągu</t>
  </si>
  <si>
    <t>Zarząd Melioracji 
i Urządzeń Wodnych 
w Olsztynie</t>
  </si>
  <si>
    <t>Rozbudowa drogi wojewódzkiej nr 592 w ciągu ul. Kętrzyńskiej i Bohaterów Warszawy w m. Bartoszyce</t>
  </si>
  <si>
    <t>Wzmocnienie drogi nr 544 na odc. Działdowo - Mławka</t>
  </si>
  <si>
    <t>Wzmocnienie poboczy drogi nr 512 na odc. Pieniężno - Zięby</t>
  </si>
  <si>
    <t xml:space="preserve">Budowa chodnika w ciągu drogi nr 527 na odc. Pasłęk - Rzędy </t>
  </si>
  <si>
    <t>Budowa chodnika w ciągu drogi nr 596 w msc. Kabiny</t>
  </si>
  <si>
    <t>Budowa chodnika w ciągu drogi nr 512 przy ul. Wyszyńskiego w Górowie Iławeckim</t>
  </si>
  <si>
    <t>710</t>
  </si>
  <si>
    <t>Działalność usługowa</t>
  </si>
  <si>
    <t>71003</t>
  </si>
  <si>
    <t>Biura planowania przestrzennego</t>
  </si>
  <si>
    <t>Warmińsko-Mazurskie Biuro Planowania Przestrzennego</t>
  </si>
  <si>
    <t>Zakup aktualizacji oprogramowania do projektowania "MAP-INFO"</t>
  </si>
  <si>
    <t>Termomodernizacja budynku biurowego przy ul. Grota Roweckiego 1 w Bartoszycach</t>
  </si>
  <si>
    <t>RPO 7.2.2 Budowa Warmińsko-Mazurskiej platformy GIS dla przedsiebiorstw</t>
  </si>
  <si>
    <t>Park Krajobrazowy Puszczy Rominckiej w Żytkiejmach</t>
  </si>
  <si>
    <t>Rozbudowa baz edukacyjnych Parku Krajobrazowego Puszczy Rominckiej (wykonanie profesjonalnego projektu architektonicznego)</t>
  </si>
  <si>
    <t>Budowa nowego wiaduktu w msc. Hartowiec w ciągu drogi nr 538 wraz z rozbiórką starego i przebudową dróg dojazdowych od strony Katlewa i cmentarza</t>
  </si>
  <si>
    <t>Wykonanie instalacji monitoringu w systemie dyskretnego ostrzegania bazy Obwodu Drogowego w Biskupcu</t>
  </si>
  <si>
    <t>Przebudowa chodnika w ciągu drogi nr 527 w msc. Kalnik (2011)</t>
  </si>
  <si>
    <t>Dostawa nowego trójczłonowego elektrycznego zespołu trakcyjnego</t>
  </si>
  <si>
    <t xml:space="preserve">Likwidacja przełomów w ciągu drogi wojewódzkiej nr 538 Radzyń Chełm. - Łasin - Nowe Miast. Lub. - Rozdroże w m. Hartowiec </t>
  </si>
  <si>
    <t>Likwidacja przełomów w ciągu drogi wojewódzkiej nr 538 Radzyń Chełm. - Łasin - Nowe Miast. Lub. - Rozdroże w m. Tuczki</t>
  </si>
  <si>
    <t>Remont odcinków przełomowych w ciągu drogi wojewódzkiej nr 593 Miłakowo - Dobre Miasto - Jeziorany - Lutry - Reszel</t>
  </si>
  <si>
    <t>Naprawa nawierzchni bitumicznych (likwidacja przełomów dróg wojewódzkich nr 519, 527, 593)</t>
  </si>
  <si>
    <t>85226</t>
  </si>
  <si>
    <t>Ośrodki adopcyjno-opiekuńcze</t>
  </si>
  <si>
    <t>Modernizacja budynku przy ul. Bałtyckiej w Kętrzynie</t>
  </si>
  <si>
    <t>Rozwój bazy edukacyjnej Parku Krajobrazowego Puszczy Rominckiej (wykonanie kosztorysu)</t>
  </si>
  <si>
    <t>Tabela Nr 3</t>
  </si>
  <si>
    <t>Wykonanie wydatków na zadania inwestycyjne (roczne i wieloletnie) przewidziane do realizacji w 2011 roku</t>
  </si>
  <si>
    <t>Planowane wydatki jednoroczne</t>
  </si>
  <si>
    <t>Wykonanane wydatki na inwestycje wieloletnie przewidziane do realizacji 
w 2011 roku</t>
  </si>
  <si>
    <t>Rok 
budżetowy 2011
(12 do 15)</t>
  </si>
  <si>
    <t>Wykonane wydatki jednorocznych</t>
  </si>
  <si>
    <t>Remont/modernizacja budynku Urzędu Marszałkowskiego 
przy ul. Głowackiego 17 wraz z opracowaniem dokumentacji projektowej w tym programu funkcjonalno-użytkowego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</si>
</sst>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/>
    <xf numFmtId="0" fontId="2" fillId="6" borderId="0" xfId="0" applyFont="1" applyFill="1"/>
    <xf numFmtId="3" fontId="2" fillId="6" borderId="0" xfId="0" applyNumberFormat="1" applyFont="1" applyFill="1" applyBorder="1" applyAlignment="1" applyProtection="1">
      <alignment horizontal="left"/>
      <protection locked="0"/>
    </xf>
    <xf numFmtId="3" fontId="2" fillId="2" borderId="0" xfId="0" applyNumberFormat="1" applyFont="1" applyFill="1" applyBorder="1" applyAlignment="1" applyProtection="1">
      <alignment horizontal="left"/>
      <protection locked="0"/>
    </xf>
    <xf numFmtId="0" fontId="2" fillId="2" borderId="0" xfId="0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/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right" vertical="center"/>
    </xf>
    <xf numFmtId="3" fontId="5" fillId="6" borderId="2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49" fontId="6" fillId="2" borderId="4" xfId="0" applyNumberFormat="1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vertical="center" wrapText="1"/>
    </xf>
    <xf numFmtId="3" fontId="6" fillId="4" borderId="2" xfId="0" applyNumberFormat="1" applyFont="1" applyFill="1" applyBorder="1" applyAlignment="1">
      <alignment horizontal="right" vertical="center"/>
    </xf>
    <xf numFmtId="3" fontId="6" fillId="7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right"/>
    </xf>
    <xf numFmtId="3" fontId="2" fillId="6" borderId="2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vertical="center" wrapText="1"/>
    </xf>
    <xf numFmtId="3" fontId="6" fillId="3" borderId="2" xfId="0" applyNumberFormat="1" applyFon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6" borderId="2" xfId="0" applyNumberFormat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6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center" vertical="top"/>
    </xf>
    <xf numFmtId="49" fontId="6" fillId="2" borderId="3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right" vertical="center"/>
    </xf>
    <xf numFmtId="3" fontId="6" fillId="5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8" borderId="0" xfId="0" applyFont="1" applyFill="1" applyAlignment="1">
      <alignment vertical="center"/>
    </xf>
    <xf numFmtId="49" fontId="2" fillId="6" borderId="3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/>
    </xf>
    <xf numFmtId="49" fontId="2" fillId="3" borderId="2" xfId="0" applyNumberFormat="1" applyFont="1" applyFill="1" applyBorder="1" applyAlignment="1">
      <alignment horizontal="center" vertical="top"/>
    </xf>
    <xf numFmtId="49" fontId="2" fillId="3" borderId="2" xfId="0" applyNumberFormat="1" applyFont="1" applyFill="1" applyBorder="1" applyAlignment="1">
      <alignment vertical="top" wrapText="1"/>
    </xf>
    <xf numFmtId="3" fontId="2" fillId="3" borderId="2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49" fontId="6" fillId="2" borderId="8" xfId="0" applyNumberFormat="1" applyFont="1" applyFill="1" applyBorder="1" applyAlignment="1">
      <alignment vertical="center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2" xfId="0" applyNumberFormat="1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right" vertical="center"/>
    </xf>
    <xf numFmtId="3" fontId="3" fillId="6" borderId="2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top"/>
    </xf>
    <xf numFmtId="3" fontId="2" fillId="2" borderId="0" xfId="0" applyNumberFormat="1" applyFont="1" applyFill="1"/>
    <xf numFmtId="3" fontId="2" fillId="6" borderId="0" xfId="0" applyNumberFormat="1" applyFont="1" applyFill="1"/>
    <xf numFmtId="0" fontId="2" fillId="2" borderId="0" xfId="0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95"/>
  <sheetViews>
    <sheetView tabSelected="1" view="pageBreakPreview" zoomScaleNormal="100" zoomScaleSheetLayoutView="100" workbookViewId="0">
      <selection activeCell="E6" sqref="E6"/>
    </sheetView>
  </sheetViews>
  <sheetFormatPr defaultRowHeight="12.75"/>
  <cols>
    <col min="1" max="1" width="4.7109375" style="1" customWidth="1"/>
    <col min="2" max="2" width="7" style="1" customWidth="1"/>
    <col min="3" max="3" width="56.57031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15.140625" style="4" customWidth="1"/>
    <col min="11" max="11" width="12.85546875" style="1" customWidth="1"/>
    <col min="12" max="12" width="11.28515625" style="1" customWidth="1"/>
    <col min="13" max="13" width="11" style="1" customWidth="1"/>
    <col min="14" max="14" width="12.5703125" style="1" customWidth="1"/>
    <col min="15" max="15" width="12.28515625" style="1" customWidth="1"/>
    <col min="16" max="16" width="23.42578125" style="7" customWidth="1"/>
    <col min="17" max="17" width="9" style="1" customWidth="1"/>
    <col min="18" max="16384" width="9.140625" style="1"/>
  </cols>
  <sheetData>
    <row r="1" spans="1:16">
      <c r="I1" s="3"/>
      <c r="O1" s="3"/>
      <c r="P1" s="3" t="s">
        <v>232</v>
      </c>
    </row>
    <row r="2" spans="1:16">
      <c r="I2" s="5"/>
      <c r="O2" s="5"/>
      <c r="P2" s="6"/>
    </row>
    <row r="3" spans="1:16">
      <c r="I3" s="5"/>
      <c r="O3" s="5"/>
      <c r="P3" s="6"/>
    </row>
    <row r="4" spans="1:16">
      <c r="I4" s="5"/>
      <c r="O4" s="5"/>
      <c r="P4" s="6"/>
    </row>
    <row r="5" spans="1:16">
      <c r="I5" s="5"/>
      <c r="O5" s="5"/>
      <c r="P5" s="6"/>
    </row>
    <row r="6" spans="1:16">
      <c r="I6" s="6"/>
      <c r="O6" s="6"/>
    </row>
    <row r="7" spans="1:16">
      <c r="I7" s="6"/>
      <c r="O7" s="6"/>
    </row>
    <row r="8" spans="1:16">
      <c r="I8" s="6"/>
      <c r="O8" s="6"/>
    </row>
    <row r="9" spans="1:16" s="9" customFormat="1">
      <c r="A9" s="8" t="s">
        <v>233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1" spans="1:16">
      <c r="P11" s="7" t="s">
        <v>141</v>
      </c>
    </row>
    <row r="12" spans="1:16" s="13" customFormat="1" ht="18.75" customHeight="1">
      <c r="A12" s="10" t="s">
        <v>142</v>
      </c>
      <c r="B12" s="10" t="s">
        <v>0</v>
      </c>
      <c r="C12" s="10" t="s">
        <v>20</v>
      </c>
      <c r="D12" s="10" t="s">
        <v>7</v>
      </c>
      <c r="E12" s="11" t="s">
        <v>234</v>
      </c>
      <c r="F12" s="11"/>
      <c r="G12" s="11"/>
      <c r="H12" s="11"/>
      <c r="I12" s="11"/>
      <c r="J12" s="12" t="s">
        <v>235</v>
      </c>
      <c r="K12" s="11" t="s">
        <v>237</v>
      </c>
      <c r="L12" s="11"/>
      <c r="M12" s="11"/>
      <c r="N12" s="11"/>
      <c r="O12" s="11"/>
      <c r="P12" s="11" t="s">
        <v>3</v>
      </c>
    </row>
    <row r="13" spans="1:16" s="13" customFormat="1" ht="18.75" customHeight="1">
      <c r="A13" s="14"/>
      <c r="B13" s="14"/>
      <c r="C13" s="14"/>
      <c r="D13" s="14"/>
      <c r="E13" s="14" t="s">
        <v>146</v>
      </c>
      <c r="F13" s="11" t="s">
        <v>1</v>
      </c>
      <c r="G13" s="11"/>
      <c r="H13" s="11"/>
      <c r="I13" s="11"/>
      <c r="J13" s="15"/>
      <c r="K13" s="14" t="s">
        <v>236</v>
      </c>
      <c r="L13" s="11" t="s">
        <v>1</v>
      </c>
      <c r="M13" s="11"/>
      <c r="N13" s="11"/>
      <c r="O13" s="11"/>
      <c r="P13" s="11"/>
    </row>
    <row r="14" spans="1:16" s="13" customFormat="1" ht="60" customHeight="1">
      <c r="A14" s="16"/>
      <c r="B14" s="16"/>
      <c r="C14" s="16"/>
      <c r="D14" s="16"/>
      <c r="E14" s="16"/>
      <c r="F14" s="17" t="s">
        <v>9</v>
      </c>
      <c r="G14" s="17" t="s">
        <v>13</v>
      </c>
      <c r="H14" s="17" t="s">
        <v>2</v>
      </c>
      <c r="I14" s="17" t="s">
        <v>8</v>
      </c>
      <c r="J14" s="18"/>
      <c r="K14" s="16"/>
      <c r="L14" s="17" t="s">
        <v>9</v>
      </c>
      <c r="M14" s="17" t="s">
        <v>13</v>
      </c>
      <c r="N14" s="17" t="s">
        <v>2</v>
      </c>
      <c r="O14" s="17" t="s">
        <v>8</v>
      </c>
      <c r="P14" s="11"/>
    </row>
    <row r="15" spans="1:16" s="13" customFormat="1" ht="6.75" customHeight="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20">
        <v>10</v>
      </c>
      <c r="K15" s="19">
        <v>11</v>
      </c>
      <c r="L15" s="19">
        <v>12</v>
      </c>
      <c r="M15" s="19">
        <v>13</v>
      </c>
      <c r="N15" s="19">
        <v>14</v>
      </c>
      <c r="O15" s="19">
        <v>15</v>
      </c>
      <c r="P15" s="19">
        <v>16</v>
      </c>
    </row>
    <row r="16" spans="1:16" s="26" customFormat="1" ht="14.25" customHeight="1">
      <c r="A16" s="21" t="s">
        <v>4</v>
      </c>
      <c r="B16" s="21"/>
      <c r="C16" s="22" t="s">
        <v>10</v>
      </c>
      <c r="D16" s="23">
        <f t="shared" ref="D16:O16" si="0">SUM(D17+D23+D34+D32+D36)</f>
        <v>33118081</v>
      </c>
      <c r="E16" s="23">
        <f t="shared" si="0"/>
        <v>2138160</v>
      </c>
      <c r="F16" s="23">
        <f t="shared" si="0"/>
        <v>443360</v>
      </c>
      <c r="G16" s="23">
        <f t="shared" si="0"/>
        <v>1290000</v>
      </c>
      <c r="H16" s="23">
        <f t="shared" si="0"/>
        <v>286800</v>
      </c>
      <c r="I16" s="23">
        <f t="shared" si="0"/>
        <v>118000</v>
      </c>
      <c r="J16" s="24">
        <f t="shared" si="0"/>
        <v>32563341</v>
      </c>
      <c r="K16" s="23">
        <f t="shared" si="0"/>
        <v>1954521</v>
      </c>
      <c r="L16" s="23">
        <f t="shared" si="0"/>
        <v>1664331</v>
      </c>
      <c r="M16" s="23">
        <f t="shared" si="0"/>
        <v>2000</v>
      </c>
      <c r="N16" s="23">
        <f t="shared" si="0"/>
        <v>282190</v>
      </c>
      <c r="O16" s="23">
        <f t="shared" si="0"/>
        <v>6000</v>
      </c>
      <c r="P16" s="25"/>
    </row>
    <row r="17" spans="1:50" s="34" customFormat="1" ht="15.75" customHeight="1">
      <c r="A17" s="27"/>
      <c r="B17" s="28" t="s">
        <v>11</v>
      </c>
      <c r="C17" s="29" t="s">
        <v>108</v>
      </c>
      <c r="D17" s="30">
        <f t="shared" ref="D17" si="1">SUM(D18:D22)</f>
        <v>0</v>
      </c>
      <c r="E17" s="30">
        <f>SUM(E18:E22)</f>
        <v>278160</v>
      </c>
      <c r="F17" s="30">
        <f>SUM(F18:F22)</f>
        <v>278160</v>
      </c>
      <c r="G17" s="30">
        <f>SUM(G18:G22)</f>
        <v>0</v>
      </c>
      <c r="H17" s="30">
        <f>SUM(H18:H22)</f>
        <v>0</v>
      </c>
      <c r="I17" s="30">
        <f>SUM(I18:I22)</f>
        <v>0</v>
      </c>
      <c r="J17" s="31">
        <f t="shared" ref="J17" si="2">SUM(J18:J22)</f>
        <v>0</v>
      </c>
      <c r="K17" s="30">
        <f>SUM(K18:K22)</f>
        <v>272071</v>
      </c>
      <c r="L17" s="30">
        <f>SUM(L18:L22)</f>
        <v>272071</v>
      </c>
      <c r="M17" s="30">
        <f>SUM(M18:M22)</f>
        <v>0</v>
      </c>
      <c r="N17" s="30">
        <f>SUM(N18:N22)</f>
        <v>0</v>
      </c>
      <c r="O17" s="30">
        <f>SUM(O18:O22)</f>
        <v>0</v>
      </c>
      <c r="P17" s="32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</row>
    <row r="18" spans="1:50" ht="17.25" customHeight="1">
      <c r="A18" s="35"/>
      <c r="B18" s="36"/>
      <c r="C18" s="37" t="s">
        <v>6</v>
      </c>
      <c r="D18" s="38">
        <v>0</v>
      </c>
      <c r="E18" s="38">
        <f t="shared" ref="E18:E151" si="3">SUM(F18:I18)</f>
        <v>25000</v>
      </c>
      <c r="F18" s="38">
        <v>25000</v>
      </c>
      <c r="G18" s="38">
        <v>0</v>
      </c>
      <c r="H18" s="38">
        <v>0</v>
      </c>
      <c r="I18" s="38">
        <v>0</v>
      </c>
      <c r="J18" s="39">
        <v>0</v>
      </c>
      <c r="K18" s="38">
        <f>SUM(L18:O18)</f>
        <v>23214</v>
      </c>
      <c r="L18" s="38">
        <v>23214</v>
      </c>
      <c r="M18" s="38">
        <v>0</v>
      </c>
      <c r="N18" s="38">
        <v>0</v>
      </c>
      <c r="O18" s="38">
        <v>0</v>
      </c>
      <c r="P18" s="40" t="s">
        <v>203</v>
      </c>
    </row>
    <row r="19" spans="1:50" ht="29.25" hidden="1" customHeight="1">
      <c r="A19" s="35"/>
      <c r="B19" s="36"/>
      <c r="C19" s="41" t="s">
        <v>166</v>
      </c>
      <c r="D19" s="39">
        <f>4560000+240000-4800000</f>
        <v>0</v>
      </c>
      <c r="E19" s="38">
        <f t="shared" si="3"/>
        <v>0</v>
      </c>
      <c r="F19" s="38">
        <v>0</v>
      </c>
      <c r="G19" s="38">
        <v>0</v>
      </c>
      <c r="H19" s="38">
        <v>0</v>
      </c>
      <c r="I19" s="38">
        <v>0</v>
      </c>
      <c r="J19" s="39"/>
      <c r="K19" s="38">
        <f t="shared" ref="K19:K22" si="4">SUM(L19:O19)</f>
        <v>0</v>
      </c>
      <c r="L19" s="38"/>
      <c r="M19" s="38"/>
      <c r="N19" s="38"/>
      <c r="O19" s="38"/>
      <c r="P19" s="42"/>
    </row>
    <row r="20" spans="1:50" ht="29.25" customHeight="1">
      <c r="A20" s="35"/>
      <c r="B20" s="36"/>
      <c r="C20" s="41" t="s">
        <v>144</v>
      </c>
      <c r="D20" s="38">
        <v>0</v>
      </c>
      <c r="E20" s="38">
        <f t="shared" si="3"/>
        <v>75460</v>
      </c>
      <c r="F20" s="38">
        <v>75460</v>
      </c>
      <c r="G20" s="38">
        <v>0</v>
      </c>
      <c r="H20" s="38">
        <v>0</v>
      </c>
      <c r="I20" s="38">
        <v>0</v>
      </c>
      <c r="J20" s="39">
        <v>0</v>
      </c>
      <c r="K20" s="38">
        <f t="shared" si="4"/>
        <v>75460</v>
      </c>
      <c r="L20" s="38">
        <v>75460</v>
      </c>
      <c r="M20" s="38">
        <v>0</v>
      </c>
      <c r="N20" s="38">
        <v>0</v>
      </c>
      <c r="O20" s="38">
        <v>0</v>
      </c>
      <c r="P20" s="42"/>
    </row>
    <row r="21" spans="1:50" ht="25.5">
      <c r="A21" s="35"/>
      <c r="B21" s="36"/>
      <c r="C21" s="43" t="s">
        <v>216</v>
      </c>
      <c r="D21" s="38">
        <v>0</v>
      </c>
      <c r="E21" s="38">
        <f t="shared" ref="E21" si="5">SUM(F21:I21)</f>
        <v>77700</v>
      </c>
      <c r="F21" s="39">
        <f>70700+7000</f>
        <v>77700</v>
      </c>
      <c r="G21" s="38">
        <v>0</v>
      </c>
      <c r="H21" s="38">
        <v>0</v>
      </c>
      <c r="I21" s="38">
        <v>0</v>
      </c>
      <c r="J21" s="39">
        <v>0</v>
      </c>
      <c r="K21" s="38">
        <f t="shared" ref="K21" si="6">SUM(L21:O21)</f>
        <v>73397</v>
      </c>
      <c r="L21" s="39">
        <v>73397</v>
      </c>
      <c r="M21" s="38">
        <v>0</v>
      </c>
      <c r="N21" s="38">
        <v>0</v>
      </c>
      <c r="O21" s="38">
        <v>0</v>
      </c>
      <c r="P21" s="44"/>
    </row>
    <row r="22" spans="1:50" ht="42" customHeight="1">
      <c r="A22" s="35"/>
      <c r="B22" s="36"/>
      <c r="C22" s="41" t="s">
        <v>160</v>
      </c>
      <c r="D22" s="38">
        <v>0</v>
      </c>
      <c r="E22" s="38">
        <f t="shared" si="3"/>
        <v>100000</v>
      </c>
      <c r="F22" s="38">
        <v>100000</v>
      </c>
      <c r="G22" s="38">
        <v>0</v>
      </c>
      <c r="H22" s="38">
        <v>0</v>
      </c>
      <c r="I22" s="38">
        <v>0</v>
      </c>
      <c r="J22" s="39">
        <v>0</v>
      </c>
      <c r="K22" s="38">
        <f t="shared" si="4"/>
        <v>100000</v>
      </c>
      <c r="L22" s="38">
        <v>100000</v>
      </c>
      <c r="M22" s="38">
        <v>0</v>
      </c>
      <c r="N22" s="38">
        <v>0</v>
      </c>
      <c r="O22" s="38">
        <v>0</v>
      </c>
      <c r="P22" s="45" t="s">
        <v>202</v>
      </c>
    </row>
    <row r="23" spans="1:50" s="33" customFormat="1" ht="15.75" customHeight="1">
      <c r="A23" s="46"/>
      <c r="B23" s="47" t="s">
        <v>5</v>
      </c>
      <c r="C23" s="48" t="s">
        <v>109</v>
      </c>
      <c r="D23" s="49">
        <f t="shared" ref="D23:I23" si="7">SUM(D24:D31)</f>
        <v>33118081</v>
      </c>
      <c r="E23" s="49">
        <f>SUM(E24:E31)</f>
        <v>1600000</v>
      </c>
      <c r="F23" s="49">
        <f t="shared" si="7"/>
        <v>63200</v>
      </c>
      <c r="G23" s="49">
        <f t="shared" si="7"/>
        <v>1250000</v>
      </c>
      <c r="H23" s="49">
        <f t="shared" si="7"/>
        <v>286800</v>
      </c>
      <c r="I23" s="49">
        <f t="shared" si="7"/>
        <v>0</v>
      </c>
      <c r="J23" s="50">
        <f t="shared" ref="J23" si="8">SUM(J24:J31)</f>
        <v>32563341</v>
      </c>
      <c r="K23" s="49">
        <f>SUM(K24:K31)</f>
        <v>1595390</v>
      </c>
      <c r="L23" s="49">
        <f t="shared" ref="L23:N23" si="9">SUM(L24:L31)</f>
        <v>1313200</v>
      </c>
      <c r="M23" s="49">
        <f t="shared" si="9"/>
        <v>0</v>
      </c>
      <c r="N23" s="49">
        <f t="shared" si="9"/>
        <v>282190</v>
      </c>
      <c r="O23" s="49">
        <v>0</v>
      </c>
      <c r="P23" s="51"/>
    </row>
    <row r="24" spans="1:50" ht="18" customHeight="1">
      <c r="A24" s="35"/>
      <c r="B24" s="52"/>
      <c r="C24" s="43" t="s">
        <v>14</v>
      </c>
      <c r="D24" s="38">
        <v>0</v>
      </c>
      <c r="E24" s="38">
        <f t="shared" ref="E24:E29" si="10">SUM(F24:I24)</f>
        <v>557409</v>
      </c>
      <c r="F24" s="38">
        <v>0</v>
      </c>
      <c r="G24" s="39">
        <f>400000+157409</f>
        <v>557409</v>
      </c>
      <c r="H24" s="38">
        <v>0</v>
      </c>
      <c r="I24" s="38">
        <v>0</v>
      </c>
      <c r="J24" s="39">
        <v>0</v>
      </c>
      <c r="K24" s="38">
        <f t="shared" ref="K24:K29" si="11">SUM(L24:O24)</f>
        <v>557409</v>
      </c>
      <c r="L24" s="38">
        <v>557409</v>
      </c>
      <c r="M24" s="39">
        <v>0</v>
      </c>
      <c r="N24" s="38">
        <v>0</v>
      </c>
      <c r="O24" s="38">
        <v>0</v>
      </c>
      <c r="P24" s="40" t="s">
        <v>203</v>
      </c>
    </row>
    <row r="25" spans="1:50" ht="19.5" customHeight="1">
      <c r="A25" s="35"/>
      <c r="B25" s="36"/>
      <c r="C25" s="53" t="s">
        <v>15</v>
      </c>
      <c r="D25" s="39">
        <f>15503000</f>
        <v>15503000</v>
      </c>
      <c r="E25" s="39">
        <f t="shared" si="10"/>
        <v>0</v>
      </c>
      <c r="F25" s="39">
        <v>0</v>
      </c>
      <c r="G25" s="39">
        <v>0</v>
      </c>
      <c r="H25" s="39">
        <v>0</v>
      </c>
      <c r="I25" s="39">
        <v>0</v>
      </c>
      <c r="J25" s="39">
        <v>14948510</v>
      </c>
      <c r="K25" s="39">
        <f t="shared" si="11"/>
        <v>0</v>
      </c>
      <c r="L25" s="39">
        <v>0</v>
      </c>
      <c r="M25" s="39">
        <v>0</v>
      </c>
      <c r="N25" s="39">
        <v>0</v>
      </c>
      <c r="O25" s="39">
        <v>0</v>
      </c>
      <c r="P25" s="42"/>
    </row>
    <row r="26" spans="1:50" ht="19.5" customHeight="1">
      <c r="A26" s="54"/>
      <c r="B26" s="54"/>
      <c r="C26" s="43" t="s">
        <v>16</v>
      </c>
      <c r="D26" s="39">
        <v>0</v>
      </c>
      <c r="E26" s="39">
        <f t="shared" si="10"/>
        <v>350000</v>
      </c>
      <c r="F26" s="39">
        <v>63200</v>
      </c>
      <c r="G26" s="39">
        <v>0</v>
      </c>
      <c r="H26" s="39">
        <v>286800</v>
      </c>
      <c r="I26" s="39">
        <v>0</v>
      </c>
      <c r="J26" s="39">
        <v>0</v>
      </c>
      <c r="K26" s="39">
        <f t="shared" si="11"/>
        <v>345390</v>
      </c>
      <c r="L26" s="39">
        <v>63200</v>
      </c>
      <c r="M26" s="39">
        <v>0</v>
      </c>
      <c r="N26" s="39">
        <v>282190</v>
      </c>
      <c r="O26" s="39">
        <v>0</v>
      </c>
      <c r="P26" s="42"/>
    </row>
    <row r="27" spans="1:50" ht="40.5" customHeight="1">
      <c r="A27" s="54"/>
      <c r="B27" s="54"/>
      <c r="C27" s="55" t="s">
        <v>172</v>
      </c>
      <c r="D27" s="39">
        <v>0</v>
      </c>
      <c r="E27" s="39">
        <f t="shared" si="10"/>
        <v>234809</v>
      </c>
      <c r="F27" s="39">
        <v>0</v>
      </c>
      <c r="G27" s="39">
        <f>290000-55191</f>
        <v>234809</v>
      </c>
      <c r="H27" s="39">
        <v>0</v>
      </c>
      <c r="I27" s="39">
        <v>0</v>
      </c>
      <c r="J27" s="39">
        <v>0</v>
      </c>
      <c r="K27" s="39">
        <f t="shared" si="11"/>
        <v>234809</v>
      </c>
      <c r="L27" s="39">
        <v>234809</v>
      </c>
      <c r="M27" s="39">
        <v>0</v>
      </c>
      <c r="N27" s="39">
        <v>0</v>
      </c>
      <c r="O27" s="39">
        <v>0</v>
      </c>
      <c r="P27" s="42"/>
    </row>
    <row r="28" spans="1:50" ht="15" customHeight="1">
      <c r="A28" s="54"/>
      <c r="B28" s="54"/>
      <c r="C28" s="55" t="s">
        <v>159</v>
      </c>
      <c r="D28" s="39">
        <v>0</v>
      </c>
      <c r="E28" s="39">
        <f t="shared" si="10"/>
        <v>57782</v>
      </c>
      <c r="F28" s="39">
        <v>0</v>
      </c>
      <c r="G28" s="39">
        <f>160000-102218</f>
        <v>57782</v>
      </c>
      <c r="H28" s="39">
        <v>0</v>
      </c>
      <c r="I28" s="39">
        <v>0</v>
      </c>
      <c r="J28" s="39">
        <v>0</v>
      </c>
      <c r="K28" s="39">
        <f t="shared" si="11"/>
        <v>57782</v>
      </c>
      <c r="L28" s="39">
        <v>57782</v>
      </c>
      <c r="M28" s="39">
        <v>0</v>
      </c>
      <c r="N28" s="39">
        <v>0</v>
      </c>
      <c r="O28" s="39">
        <v>0</v>
      </c>
      <c r="P28" s="44"/>
    </row>
    <row r="29" spans="1:50" ht="42.75" customHeight="1">
      <c r="A29" s="35"/>
      <c r="B29" s="36"/>
      <c r="C29" s="53" t="s">
        <v>12</v>
      </c>
      <c r="D29" s="56">
        <v>0</v>
      </c>
      <c r="E29" s="56">
        <f t="shared" si="10"/>
        <v>300000</v>
      </c>
      <c r="F29" s="56">
        <v>0</v>
      </c>
      <c r="G29" s="56">
        <v>300000</v>
      </c>
      <c r="H29" s="56">
        <v>0</v>
      </c>
      <c r="I29" s="56">
        <v>0</v>
      </c>
      <c r="J29" s="57"/>
      <c r="K29" s="56">
        <f t="shared" si="11"/>
        <v>300000</v>
      </c>
      <c r="L29" s="56">
        <v>300000</v>
      </c>
      <c r="M29" s="56">
        <v>0</v>
      </c>
      <c r="N29" s="56">
        <v>0</v>
      </c>
      <c r="O29" s="56">
        <v>0</v>
      </c>
      <c r="P29" s="40" t="s">
        <v>202</v>
      </c>
    </row>
    <row r="30" spans="1:50" ht="22.5" customHeight="1">
      <c r="A30" s="54"/>
      <c r="B30" s="54"/>
      <c r="C30" s="53" t="s">
        <v>15</v>
      </c>
      <c r="D30" s="57">
        <f>17472000+143081</f>
        <v>17615081</v>
      </c>
      <c r="E30" s="56">
        <f t="shared" si="3"/>
        <v>0</v>
      </c>
      <c r="F30" s="56">
        <v>0</v>
      </c>
      <c r="G30" s="56">
        <v>0</v>
      </c>
      <c r="H30" s="56">
        <v>0</v>
      </c>
      <c r="I30" s="56">
        <v>0</v>
      </c>
      <c r="J30" s="57">
        <v>17614831</v>
      </c>
      <c r="K30" s="56">
        <f t="shared" ref="K30:K31" si="12">SUM(L30:O30)</f>
        <v>0</v>
      </c>
      <c r="L30" s="56">
        <v>0</v>
      </c>
      <c r="M30" s="56">
        <v>0</v>
      </c>
      <c r="N30" s="56">
        <v>0</v>
      </c>
      <c r="O30" s="56">
        <v>0</v>
      </c>
      <c r="P30" s="42"/>
    </row>
    <row r="31" spans="1:50" ht="31.5" customHeight="1">
      <c r="A31" s="54"/>
      <c r="B31" s="58"/>
      <c r="C31" s="53" t="s">
        <v>173</v>
      </c>
      <c r="D31" s="56">
        <v>0</v>
      </c>
      <c r="E31" s="56">
        <f t="shared" si="3"/>
        <v>100000</v>
      </c>
      <c r="F31" s="56">
        <v>0</v>
      </c>
      <c r="G31" s="56">
        <v>100000</v>
      </c>
      <c r="H31" s="56">
        <v>0</v>
      </c>
      <c r="I31" s="56">
        <v>0</v>
      </c>
      <c r="J31" s="57"/>
      <c r="K31" s="56">
        <f t="shared" si="12"/>
        <v>100000</v>
      </c>
      <c r="L31" s="56">
        <v>100000</v>
      </c>
      <c r="M31" s="56">
        <v>0</v>
      </c>
      <c r="N31" s="56">
        <v>0</v>
      </c>
      <c r="O31" s="56">
        <v>0</v>
      </c>
      <c r="P31" s="44"/>
    </row>
    <row r="32" spans="1:50" s="33" customFormat="1" ht="15.75" customHeight="1">
      <c r="A32" s="59"/>
      <c r="B32" s="60" t="s">
        <v>19</v>
      </c>
      <c r="C32" s="61" t="s">
        <v>161</v>
      </c>
      <c r="D32" s="62">
        <f t="shared" ref="D32:O32" si="13">SUM(D33:D33)</f>
        <v>0</v>
      </c>
      <c r="E32" s="62">
        <f t="shared" si="13"/>
        <v>160000</v>
      </c>
      <c r="F32" s="62">
        <f t="shared" si="13"/>
        <v>2000</v>
      </c>
      <c r="G32" s="62">
        <f t="shared" si="13"/>
        <v>40000</v>
      </c>
      <c r="H32" s="62">
        <f t="shared" si="13"/>
        <v>0</v>
      </c>
      <c r="I32" s="62">
        <f t="shared" si="13"/>
        <v>118000</v>
      </c>
      <c r="J32" s="63">
        <f t="shared" si="13"/>
        <v>0</v>
      </c>
      <c r="K32" s="62">
        <f t="shared" si="13"/>
        <v>9950</v>
      </c>
      <c r="L32" s="62">
        <f t="shared" si="13"/>
        <v>1950</v>
      </c>
      <c r="M32" s="62">
        <f t="shared" si="13"/>
        <v>2000</v>
      </c>
      <c r="N32" s="62">
        <f t="shared" si="13"/>
        <v>0</v>
      </c>
      <c r="O32" s="62">
        <f t="shared" si="13"/>
        <v>6000</v>
      </c>
      <c r="P32" s="51"/>
    </row>
    <row r="33" spans="1:16" ht="37.5" customHeight="1">
      <c r="A33" s="54"/>
      <c r="B33" s="58"/>
      <c r="C33" s="64" t="s">
        <v>174</v>
      </c>
      <c r="D33" s="56">
        <v>0</v>
      </c>
      <c r="E33" s="56">
        <f t="shared" si="3"/>
        <v>160000</v>
      </c>
      <c r="F33" s="57">
        <f>35000-33000</f>
        <v>2000</v>
      </c>
      <c r="G33" s="56">
        <v>40000</v>
      </c>
      <c r="H33" s="56">
        <v>0</v>
      </c>
      <c r="I33" s="56">
        <v>118000</v>
      </c>
      <c r="J33" s="57">
        <v>0</v>
      </c>
      <c r="K33" s="56">
        <f t="shared" ref="K33" si="14">SUM(L33:O33)</f>
        <v>9950</v>
      </c>
      <c r="L33" s="57">
        <v>1950</v>
      </c>
      <c r="M33" s="56">
        <v>2000</v>
      </c>
      <c r="N33" s="56">
        <v>0</v>
      </c>
      <c r="O33" s="56">
        <v>6000</v>
      </c>
      <c r="P33" s="65" t="s">
        <v>18</v>
      </c>
    </row>
    <row r="34" spans="1:16" s="33" customFormat="1" ht="15.75" customHeight="1">
      <c r="A34" s="59"/>
      <c r="B34" s="47" t="s">
        <v>139</v>
      </c>
      <c r="C34" s="48" t="s">
        <v>140</v>
      </c>
      <c r="D34" s="49">
        <f t="shared" ref="D34:O34" si="15">D35</f>
        <v>0</v>
      </c>
      <c r="E34" s="49">
        <f t="shared" si="15"/>
        <v>20000</v>
      </c>
      <c r="F34" s="49">
        <f t="shared" si="15"/>
        <v>20000</v>
      </c>
      <c r="G34" s="49">
        <f t="shared" si="15"/>
        <v>0</v>
      </c>
      <c r="H34" s="49">
        <f t="shared" si="15"/>
        <v>0</v>
      </c>
      <c r="I34" s="49">
        <f t="shared" si="15"/>
        <v>0</v>
      </c>
      <c r="J34" s="50">
        <f t="shared" si="15"/>
        <v>0</v>
      </c>
      <c r="K34" s="49">
        <f t="shared" si="15"/>
        <v>0</v>
      </c>
      <c r="L34" s="49">
        <f t="shared" si="15"/>
        <v>0</v>
      </c>
      <c r="M34" s="49">
        <f t="shared" si="15"/>
        <v>0</v>
      </c>
      <c r="N34" s="49">
        <f t="shared" si="15"/>
        <v>0</v>
      </c>
      <c r="O34" s="49">
        <f t="shared" si="15"/>
        <v>0</v>
      </c>
      <c r="P34" s="66"/>
    </row>
    <row r="35" spans="1:16" ht="14.25" customHeight="1">
      <c r="A35" s="54"/>
      <c r="B35" s="54"/>
      <c r="C35" s="43" t="s">
        <v>17</v>
      </c>
      <c r="D35" s="38">
        <v>0</v>
      </c>
      <c r="E35" s="38">
        <f>SUM(F35:I35)</f>
        <v>20000</v>
      </c>
      <c r="F35" s="38">
        <v>20000</v>
      </c>
      <c r="G35" s="38">
        <v>0</v>
      </c>
      <c r="H35" s="38">
        <v>0</v>
      </c>
      <c r="I35" s="38">
        <v>0</v>
      </c>
      <c r="J35" s="39">
        <v>0</v>
      </c>
      <c r="K35" s="38">
        <f>SUM(L35:O35)</f>
        <v>0</v>
      </c>
      <c r="L35" s="38">
        <v>0</v>
      </c>
      <c r="M35" s="38">
        <v>0</v>
      </c>
      <c r="N35" s="38">
        <v>0</v>
      </c>
      <c r="O35" s="38">
        <v>0</v>
      </c>
      <c r="P35" s="45" t="s">
        <v>18</v>
      </c>
    </row>
    <row r="36" spans="1:16" s="33" customFormat="1" ht="15.75" customHeight="1">
      <c r="A36" s="59"/>
      <c r="B36" s="47" t="s">
        <v>158</v>
      </c>
      <c r="C36" s="48" t="s">
        <v>117</v>
      </c>
      <c r="D36" s="49">
        <f t="shared" ref="D36:O36" si="16">D37</f>
        <v>0</v>
      </c>
      <c r="E36" s="49">
        <f t="shared" si="16"/>
        <v>80000</v>
      </c>
      <c r="F36" s="49">
        <f t="shared" si="16"/>
        <v>80000</v>
      </c>
      <c r="G36" s="49">
        <f t="shared" si="16"/>
        <v>0</v>
      </c>
      <c r="H36" s="49">
        <f t="shared" si="16"/>
        <v>0</v>
      </c>
      <c r="I36" s="49">
        <f t="shared" si="16"/>
        <v>0</v>
      </c>
      <c r="J36" s="50">
        <f t="shared" si="16"/>
        <v>0</v>
      </c>
      <c r="K36" s="49">
        <f t="shared" si="16"/>
        <v>77110</v>
      </c>
      <c r="L36" s="49">
        <f t="shared" si="16"/>
        <v>77110</v>
      </c>
      <c r="M36" s="49">
        <f t="shared" si="16"/>
        <v>0</v>
      </c>
      <c r="N36" s="49">
        <f t="shared" si="16"/>
        <v>0</v>
      </c>
      <c r="O36" s="49">
        <f t="shared" si="16"/>
        <v>0</v>
      </c>
      <c r="P36" s="66"/>
    </row>
    <row r="37" spans="1:16" ht="38.25">
      <c r="A37" s="58"/>
      <c r="B37" s="54"/>
      <c r="C37" s="43" t="s">
        <v>59</v>
      </c>
      <c r="D37" s="38">
        <v>0</v>
      </c>
      <c r="E37" s="38">
        <f>SUM(F37:I37)</f>
        <v>80000</v>
      </c>
      <c r="F37" s="39">
        <v>80000</v>
      </c>
      <c r="G37" s="39">
        <v>0</v>
      </c>
      <c r="H37" s="39">
        <v>0</v>
      </c>
      <c r="I37" s="39">
        <v>0</v>
      </c>
      <c r="J37" s="39">
        <v>0</v>
      </c>
      <c r="K37" s="38">
        <f>SUM(L37:O37)</f>
        <v>77110</v>
      </c>
      <c r="L37" s="39">
        <v>77110</v>
      </c>
      <c r="M37" s="39">
        <v>0</v>
      </c>
      <c r="N37" s="39">
        <v>0</v>
      </c>
      <c r="O37" s="39">
        <v>0</v>
      </c>
      <c r="P37" s="45" t="s">
        <v>203</v>
      </c>
    </row>
    <row r="38" spans="1:16" s="26" customFormat="1" ht="14.25" customHeight="1">
      <c r="A38" s="21" t="s">
        <v>21</v>
      </c>
      <c r="B38" s="21"/>
      <c r="C38" s="22" t="s">
        <v>110</v>
      </c>
      <c r="D38" s="23">
        <f t="shared" ref="D38:O38" si="17">D39</f>
        <v>0</v>
      </c>
      <c r="E38" s="23">
        <f t="shared" si="17"/>
        <v>75640</v>
      </c>
      <c r="F38" s="23">
        <f t="shared" si="17"/>
        <v>13640</v>
      </c>
      <c r="G38" s="23">
        <f t="shared" si="17"/>
        <v>15000</v>
      </c>
      <c r="H38" s="23">
        <f t="shared" si="17"/>
        <v>0</v>
      </c>
      <c r="I38" s="23">
        <f t="shared" si="17"/>
        <v>47000</v>
      </c>
      <c r="J38" s="24">
        <f t="shared" si="17"/>
        <v>0</v>
      </c>
      <c r="K38" s="23">
        <f t="shared" si="17"/>
        <v>0</v>
      </c>
      <c r="L38" s="23">
        <f t="shared" si="17"/>
        <v>0</v>
      </c>
      <c r="M38" s="23">
        <f t="shared" si="17"/>
        <v>0</v>
      </c>
      <c r="N38" s="23">
        <f t="shared" si="17"/>
        <v>0</v>
      </c>
      <c r="O38" s="23">
        <f t="shared" si="17"/>
        <v>0</v>
      </c>
      <c r="P38" s="25"/>
    </row>
    <row r="39" spans="1:16" s="34" customFormat="1" ht="27.75" customHeight="1">
      <c r="A39" s="27"/>
      <c r="B39" s="67" t="s">
        <v>22</v>
      </c>
      <c r="C39" s="48" t="s">
        <v>175</v>
      </c>
      <c r="D39" s="49">
        <f t="shared" ref="D39:O39" si="18">SUM(D40:D40)</f>
        <v>0</v>
      </c>
      <c r="E39" s="49">
        <f t="shared" si="18"/>
        <v>75640</v>
      </c>
      <c r="F39" s="49">
        <f t="shared" si="18"/>
        <v>13640</v>
      </c>
      <c r="G39" s="49">
        <f t="shared" si="18"/>
        <v>15000</v>
      </c>
      <c r="H39" s="49">
        <f t="shared" si="18"/>
        <v>0</v>
      </c>
      <c r="I39" s="49">
        <f t="shared" si="18"/>
        <v>47000</v>
      </c>
      <c r="J39" s="50">
        <f t="shared" si="18"/>
        <v>0</v>
      </c>
      <c r="K39" s="49">
        <f t="shared" si="18"/>
        <v>0</v>
      </c>
      <c r="L39" s="49">
        <f t="shared" si="18"/>
        <v>0</v>
      </c>
      <c r="M39" s="49">
        <f t="shared" si="18"/>
        <v>0</v>
      </c>
      <c r="N39" s="49">
        <f t="shared" si="18"/>
        <v>0</v>
      </c>
      <c r="O39" s="49">
        <f t="shared" si="18"/>
        <v>0</v>
      </c>
      <c r="P39" s="32"/>
    </row>
    <row r="40" spans="1:16" ht="40.5" customHeight="1">
      <c r="A40" s="68"/>
      <c r="B40" s="69"/>
      <c r="C40" s="43" t="s">
        <v>176</v>
      </c>
      <c r="D40" s="38">
        <v>0</v>
      </c>
      <c r="E40" s="38">
        <f t="shared" si="3"/>
        <v>75640</v>
      </c>
      <c r="F40" s="38">
        <v>13640</v>
      </c>
      <c r="G40" s="39">
        <v>15000</v>
      </c>
      <c r="H40" s="38">
        <v>0</v>
      </c>
      <c r="I40" s="39">
        <v>47000</v>
      </c>
      <c r="J40" s="39">
        <v>0</v>
      </c>
      <c r="K40" s="38">
        <f t="shared" ref="K40" si="19">SUM(L40:O40)</f>
        <v>0</v>
      </c>
      <c r="L40" s="38">
        <v>0</v>
      </c>
      <c r="M40" s="39">
        <v>0</v>
      </c>
      <c r="N40" s="38">
        <v>0</v>
      </c>
      <c r="O40" s="39">
        <v>0</v>
      </c>
      <c r="P40" s="45" t="s">
        <v>18</v>
      </c>
    </row>
    <row r="41" spans="1:16" s="26" customFormat="1" ht="14.25" hidden="1" customHeight="1">
      <c r="A41" s="21" t="s">
        <v>23</v>
      </c>
      <c r="B41" s="21"/>
      <c r="C41" s="22" t="s">
        <v>111</v>
      </c>
      <c r="D41" s="23">
        <f t="shared" ref="D41:O41" si="20">D42</f>
        <v>0</v>
      </c>
      <c r="E41" s="23">
        <f t="shared" si="20"/>
        <v>0</v>
      </c>
      <c r="F41" s="23">
        <f t="shared" si="20"/>
        <v>0</v>
      </c>
      <c r="G41" s="23">
        <f t="shared" si="20"/>
        <v>0</v>
      </c>
      <c r="H41" s="23">
        <f t="shared" si="20"/>
        <v>0</v>
      </c>
      <c r="I41" s="23">
        <f t="shared" si="20"/>
        <v>0</v>
      </c>
      <c r="J41" s="24">
        <f t="shared" si="20"/>
        <v>0</v>
      </c>
      <c r="K41" s="23">
        <f t="shared" si="20"/>
        <v>0</v>
      </c>
      <c r="L41" s="23">
        <f t="shared" si="20"/>
        <v>0</v>
      </c>
      <c r="M41" s="23">
        <f t="shared" si="20"/>
        <v>0</v>
      </c>
      <c r="N41" s="23">
        <f t="shared" si="20"/>
        <v>0</v>
      </c>
      <c r="O41" s="23">
        <f t="shared" si="20"/>
        <v>0</v>
      </c>
      <c r="P41" s="25"/>
    </row>
    <row r="42" spans="1:16" s="34" customFormat="1" ht="15.75" hidden="1" customHeight="1">
      <c r="A42" s="27"/>
      <c r="B42" s="47" t="s">
        <v>24</v>
      </c>
      <c r="C42" s="48" t="s">
        <v>112</v>
      </c>
      <c r="D42" s="49">
        <f t="shared" ref="D42:I42" si="21">SUM(D43:D45)</f>
        <v>0</v>
      </c>
      <c r="E42" s="49">
        <f t="shared" si="21"/>
        <v>0</v>
      </c>
      <c r="F42" s="49">
        <f t="shared" si="21"/>
        <v>0</v>
      </c>
      <c r="G42" s="49">
        <f t="shared" si="21"/>
        <v>0</v>
      </c>
      <c r="H42" s="49">
        <f t="shared" si="21"/>
        <v>0</v>
      </c>
      <c r="I42" s="49">
        <f t="shared" si="21"/>
        <v>0</v>
      </c>
      <c r="J42" s="50">
        <f t="shared" ref="J42:O42" si="22">SUM(J43:J45)</f>
        <v>0</v>
      </c>
      <c r="K42" s="49">
        <f t="shared" si="22"/>
        <v>0</v>
      </c>
      <c r="L42" s="49">
        <f t="shared" si="22"/>
        <v>0</v>
      </c>
      <c r="M42" s="49">
        <f t="shared" si="22"/>
        <v>0</v>
      </c>
      <c r="N42" s="49">
        <f t="shared" si="22"/>
        <v>0</v>
      </c>
      <c r="O42" s="49">
        <f t="shared" si="22"/>
        <v>0</v>
      </c>
      <c r="P42" s="32"/>
    </row>
    <row r="43" spans="1:16" ht="42.75" hidden="1" customHeight="1">
      <c r="A43" s="35"/>
      <c r="B43" s="36"/>
      <c r="C43" s="43" t="s">
        <v>191</v>
      </c>
      <c r="D43" s="39">
        <f>47885+8413-56298</f>
        <v>0</v>
      </c>
      <c r="E43" s="38">
        <f>SUM(F43:I43)</f>
        <v>0</v>
      </c>
      <c r="F43" s="38">
        <v>0</v>
      </c>
      <c r="G43" s="38">
        <v>0</v>
      </c>
      <c r="H43" s="38">
        <v>0</v>
      </c>
      <c r="I43" s="38">
        <v>0</v>
      </c>
      <c r="J43" s="39"/>
      <c r="K43" s="38">
        <f>SUM(L43:O43)</f>
        <v>0</v>
      </c>
      <c r="L43" s="38"/>
      <c r="M43" s="38"/>
      <c r="N43" s="38"/>
      <c r="O43" s="38"/>
      <c r="P43" s="40" t="s">
        <v>18</v>
      </c>
    </row>
    <row r="44" spans="1:16" ht="16.5" hidden="1" customHeight="1">
      <c r="A44" s="35"/>
      <c r="B44" s="36"/>
      <c r="C44" s="41" t="s">
        <v>25</v>
      </c>
      <c r="D44" s="39">
        <f>4250+750-5000</f>
        <v>0</v>
      </c>
      <c r="E44" s="38">
        <f>SUM(F44:I44)</f>
        <v>0</v>
      </c>
      <c r="F44" s="38">
        <v>0</v>
      </c>
      <c r="G44" s="38">
        <v>0</v>
      </c>
      <c r="H44" s="38">
        <v>0</v>
      </c>
      <c r="I44" s="38">
        <v>0</v>
      </c>
      <c r="J44" s="39"/>
      <c r="K44" s="38">
        <f>SUM(L44:O44)</f>
        <v>0</v>
      </c>
      <c r="L44" s="38"/>
      <c r="M44" s="38"/>
      <c r="N44" s="38"/>
      <c r="O44" s="38"/>
      <c r="P44" s="44"/>
    </row>
    <row r="45" spans="1:16" ht="26.25" hidden="1" customHeight="1">
      <c r="A45" s="35"/>
      <c r="B45" s="36"/>
      <c r="C45" s="41" t="s">
        <v>26</v>
      </c>
      <c r="D45" s="39">
        <f>8415+1485-9900</f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9"/>
      <c r="K45" s="38">
        <v>0</v>
      </c>
      <c r="L45" s="38"/>
      <c r="M45" s="38"/>
      <c r="N45" s="38"/>
      <c r="O45" s="38"/>
      <c r="P45" s="70" t="s">
        <v>198</v>
      </c>
    </row>
    <row r="46" spans="1:16" s="26" customFormat="1" ht="14.25" customHeight="1">
      <c r="A46" s="21" t="s">
        <v>27</v>
      </c>
      <c r="B46" s="21"/>
      <c r="C46" s="22" t="s">
        <v>113</v>
      </c>
      <c r="D46" s="23">
        <f t="shared" ref="D46:I46" si="23">D47+D50+D111+D113+D108</f>
        <v>53667062</v>
      </c>
      <c r="E46" s="23">
        <f t="shared" si="23"/>
        <v>27269915</v>
      </c>
      <c r="F46" s="23">
        <f t="shared" si="23"/>
        <v>26749915</v>
      </c>
      <c r="G46" s="23">
        <f t="shared" si="23"/>
        <v>0</v>
      </c>
      <c r="H46" s="23">
        <f t="shared" si="23"/>
        <v>520000</v>
      </c>
      <c r="I46" s="23">
        <f t="shared" si="23"/>
        <v>0</v>
      </c>
      <c r="J46" s="24">
        <f t="shared" ref="J46:O46" si="24">J47+J50+J111+J113+J108</f>
        <v>50059641</v>
      </c>
      <c r="K46" s="23">
        <f t="shared" si="24"/>
        <v>26785552</v>
      </c>
      <c r="L46" s="23">
        <f t="shared" si="24"/>
        <v>26424536</v>
      </c>
      <c r="M46" s="23">
        <f t="shared" si="24"/>
        <v>0</v>
      </c>
      <c r="N46" s="23">
        <f t="shared" si="24"/>
        <v>361016</v>
      </c>
      <c r="O46" s="23">
        <f t="shared" si="24"/>
        <v>0</v>
      </c>
      <c r="P46" s="25"/>
    </row>
    <row r="47" spans="1:16" s="34" customFormat="1" ht="15.75" customHeight="1">
      <c r="A47" s="27"/>
      <c r="B47" s="47" t="s">
        <v>28</v>
      </c>
      <c r="C47" s="48" t="s">
        <v>114</v>
      </c>
      <c r="D47" s="49">
        <f t="shared" ref="D47:I47" si="25">SUM(D48:D49)</f>
        <v>10573072</v>
      </c>
      <c r="E47" s="49">
        <f t="shared" si="25"/>
        <v>0</v>
      </c>
      <c r="F47" s="49">
        <f t="shared" si="25"/>
        <v>0</v>
      </c>
      <c r="G47" s="49">
        <f t="shared" si="25"/>
        <v>0</v>
      </c>
      <c r="H47" s="49">
        <f t="shared" si="25"/>
        <v>0</v>
      </c>
      <c r="I47" s="49">
        <f t="shared" si="25"/>
        <v>0</v>
      </c>
      <c r="J47" s="50">
        <f t="shared" ref="J47:O47" si="26">SUM(J48:J49)</f>
        <v>7751826</v>
      </c>
      <c r="K47" s="49">
        <f t="shared" si="26"/>
        <v>0</v>
      </c>
      <c r="L47" s="49">
        <f t="shared" si="26"/>
        <v>0</v>
      </c>
      <c r="M47" s="49">
        <f t="shared" si="26"/>
        <v>0</v>
      </c>
      <c r="N47" s="49">
        <f t="shared" si="26"/>
        <v>0</v>
      </c>
      <c r="O47" s="49">
        <f t="shared" si="26"/>
        <v>0</v>
      </c>
      <c r="P47" s="32"/>
    </row>
    <row r="48" spans="1:16" ht="26.25" customHeight="1">
      <c r="A48" s="35"/>
      <c r="B48" s="36"/>
      <c r="C48" s="43" t="s">
        <v>29</v>
      </c>
      <c r="D48" s="39">
        <f>4196586+1049147-644759-1049147-3551827+3551827</f>
        <v>3551827</v>
      </c>
      <c r="E48" s="38">
        <f>SUM(F48:I48)</f>
        <v>0</v>
      </c>
      <c r="F48" s="38">
        <v>0</v>
      </c>
      <c r="G48" s="38">
        <v>0</v>
      </c>
      <c r="H48" s="38">
        <v>0</v>
      </c>
      <c r="I48" s="38">
        <v>0</v>
      </c>
      <c r="J48" s="39">
        <v>3551826</v>
      </c>
      <c r="K48" s="38">
        <f>SUM(L48:O48)</f>
        <v>0</v>
      </c>
      <c r="L48" s="38">
        <v>0</v>
      </c>
      <c r="M48" s="38">
        <v>0</v>
      </c>
      <c r="N48" s="38">
        <v>0</v>
      </c>
      <c r="O48" s="38">
        <v>0</v>
      </c>
      <c r="P48" s="40" t="s">
        <v>18</v>
      </c>
    </row>
    <row r="49" spans="1:16" ht="29.25" customHeight="1">
      <c r="A49" s="35"/>
      <c r="B49" s="69"/>
      <c r="C49" s="71" t="s">
        <v>223</v>
      </c>
      <c r="D49" s="57">
        <f>7021245-3741923+3741923</f>
        <v>7021245</v>
      </c>
      <c r="E49" s="57">
        <f>SUM(F49:I49)</f>
        <v>0</v>
      </c>
      <c r="F49" s="57">
        <v>0</v>
      </c>
      <c r="G49" s="57">
        <v>0</v>
      </c>
      <c r="H49" s="57">
        <v>0</v>
      </c>
      <c r="I49" s="57">
        <v>0</v>
      </c>
      <c r="J49" s="57">
        <v>4200000</v>
      </c>
      <c r="K49" s="57">
        <f>SUM(L49:O49)</f>
        <v>0</v>
      </c>
      <c r="L49" s="57">
        <v>0</v>
      </c>
      <c r="M49" s="57">
        <v>0</v>
      </c>
      <c r="N49" s="57">
        <v>0</v>
      </c>
      <c r="O49" s="57">
        <v>0</v>
      </c>
      <c r="P49" s="44"/>
    </row>
    <row r="50" spans="1:16" s="34" customFormat="1" ht="15.75" customHeight="1">
      <c r="A50" s="46"/>
      <c r="B50" s="60" t="s">
        <v>30</v>
      </c>
      <c r="C50" s="61" t="s">
        <v>115</v>
      </c>
      <c r="D50" s="62">
        <f>SUM(D51:D107)</f>
        <v>25869397</v>
      </c>
      <c r="E50" s="62">
        <f t="shared" ref="E50:I50" si="27">SUM(E51:E107)</f>
        <v>27069387</v>
      </c>
      <c r="F50" s="62">
        <f t="shared" si="27"/>
        <v>26549387</v>
      </c>
      <c r="G50" s="62">
        <f t="shared" si="27"/>
        <v>0</v>
      </c>
      <c r="H50" s="62">
        <f t="shared" si="27"/>
        <v>520000</v>
      </c>
      <c r="I50" s="62">
        <f t="shared" si="27"/>
        <v>0</v>
      </c>
      <c r="J50" s="63">
        <f>SUM(J51:J107)</f>
        <v>25734692</v>
      </c>
      <c r="K50" s="62">
        <f t="shared" ref="K50:O50" si="28">SUM(K51:K107)</f>
        <v>26619112</v>
      </c>
      <c r="L50" s="62">
        <f t="shared" si="28"/>
        <v>26258096</v>
      </c>
      <c r="M50" s="62">
        <f t="shared" si="28"/>
        <v>0</v>
      </c>
      <c r="N50" s="62">
        <f t="shared" si="28"/>
        <v>361016</v>
      </c>
      <c r="O50" s="62">
        <f t="shared" si="28"/>
        <v>0</v>
      </c>
      <c r="P50" s="72"/>
    </row>
    <row r="51" spans="1:16" ht="26.25" customHeight="1">
      <c r="A51" s="35"/>
      <c r="B51" s="36"/>
      <c r="C51" s="43" t="s">
        <v>177</v>
      </c>
      <c r="D51" s="38">
        <v>0</v>
      </c>
      <c r="E51" s="38">
        <f>SUM(F51:I51)</f>
        <v>120700</v>
      </c>
      <c r="F51" s="38">
        <f>200000-64900-14400</f>
        <v>120700</v>
      </c>
      <c r="G51" s="38">
        <v>0</v>
      </c>
      <c r="H51" s="38">
        <v>0</v>
      </c>
      <c r="I51" s="38">
        <v>0</v>
      </c>
      <c r="J51" s="39">
        <v>0</v>
      </c>
      <c r="K51" s="38">
        <f>SUM(L51:O51)</f>
        <v>120674</v>
      </c>
      <c r="L51" s="38">
        <v>120674</v>
      </c>
      <c r="M51" s="38">
        <v>0</v>
      </c>
      <c r="N51" s="38">
        <v>0</v>
      </c>
      <c r="O51" s="38">
        <v>0</v>
      </c>
      <c r="P51" s="40" t="s">
        <v>31</v>
      </c>
    </row>
    <row r="52" spans="1:16" ht="26.25" customHeight="1">
      <c r="A52" s="35"/>
      <c r="B52" s="36"/>
      <c r="C52" s="41" t="s">
        <v>147</v>
      </c>
      <c r="D52" s="38">
        <v>0</v>
      </c>
      <c r="E52" s="38">
        <f>SUM(F52:I52)</f>
        <v>207250</v>
      </c>
      <c r="F52" s="38">
        <f>300000-92500-250</f>
        <v>207250</v>
      </c>
      <c r="G52" s="38">
        <v>0</v>
      </c>
      <c r="H52" s="38">
        <v>0</v>
      </c>
      <c r="I52" s="38">
        <v>0</v>
      </c>
      <c r="J52" s="39">
        <v>0</v>
      </c>
      <c r="K52" s="38">
        <f>SUM(L52:O52)</f>
        <v>207219</v>
      </c>
      <c r="L52" s="38">
        <v>207219</v>
      </c>
      <c r="M52" s="38">
        <v>0</v>
      </c>
      <c r="N52" s="38">
        <v>0</v>
      </c>
      <c r="O52" s="38">
        <v>0</v>
      </c>
      <c r="P52" s="42"/>
    </row>
    <row r="53" spans="1:16" ht="16.5" customHeight="1">
      <c r="A53" s="35"/>
      <c r="B53" s="36"/>
      <c r="C53" s="43" t="s">
        <v>32</v>
      </c>
      <c r="D53" s="38">
        <v>0</v>
      </c>
      <c r="E53" s="38">
        <f>SUM(F53:I53)</f>
        <v>48700</v>
      </c>
      <c r="F53" s="38">
        <f>50000-1300</f>
        <v>48700</v>
      </c>
      <c r="G53" s="38">
        <v>0</v>
      </c>
      <c r="H53" s="38">
        <v>0</v>
      </c>
      <c r="I53" s="38">
        <v>0</v>
      </c>
      <c r="J53" s="39">
        <v>0</v>
      </c>
      <c r="K53" s="38">
        <f>SUM(L53:O53)</f>
        <v>48632</v>
      </c>
      <c r="L53" s="38">
        <v>48632</v>
      </c>
      <c r="M53" s="38">
        <v>0</v>
      </c>
      <c r="N53" s="38">
        <v>0</v>
      </c>
      <c r="O53" s="38">
        <v>0</v>
      </c>
      <c r="P53" s="42"/>
    </row>
    <row r="54" spans="1:16" ht="39" customHeight="1">
      <c r="A54" s="54"/>
      <c r="B54" s="54"/>
      <c r="C54" s="43" t="s">
        <v>192</v>
      </c>
      <c r="D54" s="38">
        <v>0</v>
      </c>
      <c r="E54" s="38">
        <f>SUM(F54:I54)</f>
        <v>99000</v>
      </c>
      <c r="F54" s="38">
        <f>100000-1000</f>
        <v>99000</v>
      </c>
      <c r="G54" s="38">
        <v>0</v>
      </c>
      <c r="H54" s="38">
        <v>0</v>
      </c>
      <c r="I54" s="38">
        <v>0</v>
      </c>
      <c r="J54" s="39">
        <v>0</v>
      </c>
      <c r="K54" s="38">
        <f>SUM(L54:O54)</f>
        <v>98986</v>
      </c>
      <c r="L54" s="38">
        <v>98986</v>
      </c>
      <c r="M54" s="38">
        <v>0</v>
      </c>
      <c r="N54" s="38">
        <v>0</v>
      </c>
      <c r="O54" s="38">
        <v>0</v>
      </c>
      <c r="P54" s="42"/>
    </row>
    <row r="55" spans="1:16" ht="28.5" customHeight="1">
      <c r="A55" s="54"/>
      <c r="B55" s="54"/>
      <c r="C55" s="43" t="s">
        <v>178</v>
      </c>
      <c r="D55" s="38">
        <v>0</v>
      </c>
      <c r="E55" s="38">
        <f t="shared" si="3"/>
        <v>75800</v>
      </c>
      <c r="F55" s="38">
        <f>100000-24200</f>
        <v>75800</v>
      </c>
      <c r="G55" s="38">
        <v>0</v>
      </c>
      <c r="H55" s="38">
        <v>0</v>
      </c>
      <c r="I55" s="38">
        <v>0</v>
      </c>
      <c r="J55" s="39">
        <v>0</v>
      </c>
      <c r="K55" s="38">
        <f t="shared" ref="K55:K57" si="29">SUM(L55:O55)</f>
        <v>75776</v>
      </c>
      <c r="L55" s="38">
        <v>75776</v>
      </c>
      <c r="M55" s="38">
        <v>0</v>
      </c>
      <c r="N55" s="38">
        <v>0</v>
      </c>
      <c r="O55" s="38">
        <v>0</v>
      </c>
      <c r="P55" s="42"/>
    </row>
    <row r="56" spans="1:16" ht="27.75" customHeight="1">
      <c r="A56" s="54"/>
      <c r="B56" s="54"/>
      <c r="C56" s="43" t="s">
        <v>33</v>
      </c>
      <c r="D56" s="38">
        <v>0</v>
      </c>
      <c r="E56" s="38">
        <f t="shared" si="3"/>
        <v>216500</v>
      </c>
      <c r="F56" s="38">
        <f>350000-133500</f>
        <v>216500</v>
      </c>
      <c r="G56" s="38">
        <v>0</v>
      </c>
      <c r="H56" s="38">
        <v>0</v>
      </c>
      <c r="I56" s="38">
        <v>0</v>
      </c>
      <c r="J56" s="39">
        <v>0</v>
      </c>
      <c r="K56" s="38">
        <f t="shared" si="29"/>
        <v>216357</v>
      </c>
      <c r="L56" s="38">
        <v>216357</v>
      </c>
      <c r="M56" s="38">
        <v>0</v>
      </c>
      <c r="N56" s="38">
        <v>0</v>
      </c>
      <c r="O56" s="38">
        <v>0</v>
      </c>
      <c r="P56" s="42"/>
    </row>
    <row r="57" spans="1:16" ht="26.25" customHeight="1">
      <c r="A57" s="54"/>
      <c r="B57" s="54"/>
      <c r="C57" s="43" t="s">
        <v>148</v>
      </c>
      <c r="D57" s="39">
        <v>0</v>
      </c>
      <c r="E57" s="39">
        <f t="shared" si="3"/>
        <v>93600</v>
      </c>
      <c r="F57" s="39">
        <f>150000-56400</f>
        <v>93600</v>
      </c>
      <c r="G57" s="39">
        <v>0</v>
      </c>
      <c r="H57" s="39">
        <v>0</v>
      </c>
      <c r="I57" s="38">
        <v>0</v>
      </c>
      <c r="J57" s="39">
        <v>0</v>
      </c>
      <c r="K57" s="39">
        <f t="shared" si="29"/>
        <v>93509</v>
      </c>
      <c r="L57" s="39">
        <v>93509</v>
      </c>
      <c r="M57" s="39">
        <v>0</v>
      </c>
      <c r="N57" s="39">
        <v>0</v>
      </c>
      <c r="O57" s="38">
        <v>0</v>
      </c>
      <c r="P57" s="42"/>
    </row>
    <row r="58" spans="1:16" s="74" customFormat="1" ht="15" customHeight="1">
      <c r="A58" s="73"/>
      <c r="B58" s="73"/>
      <c r="C58" s="55" t="s">
        <v>207</v>
      </c>
      <c r="D58" s="39">
        <v>0</v>
      </c>
      <c r="E58" s="39">
        <f t="shared" ref="E58" si="30">SUM(F58:I58)</f>
        <v>250000</v>
      </c>
      <c r="F58" s="39">
        <v>250000</v>
      </c>
      <c r="G58" s="39">
        <v>0</v>
      </c>
      <c r="H58" s="39">
        <v>0</v>
      </c>
      <c r="I58" s="39">
        <v>0</v>
      </c>
      <c r="J58" s="39">
        <v>0</v>
      </c>
      <c r="K58" s="39">
        <f t="shared" ref="K58" si="31">SUM(L58:O58)</f>
        <v>250000</v>
      </c>
      <c r="L58" s="39">
        <v>250000</v>
      </c>
      <c r="M58" s="39">
        <v>0</v>
      </c>
      <c r="N58" s="39">
        <v>0</v>
      </c>
      <c r="O58" s="39">
        <v>0</v>
      </c>
      <c r="P58" s="42"/>
    </row>
    <row r="59" spans="1:16" s="76" customFormat="1" ht="15" customHeight="1">
      <c r="A59" s="75"/>
      <c r="B59" s="75"/>
      <c r="C59" s="43" t="s">
        <v>208</v>
      </c>
      <c r="D59" s="39">
        <v>0</v>
      </c>
      <c r="E59" s="39">
        <f t="shared" ref="E59" si="32">SUM(F59:I59)</f>
        <v>200000</v>
      </c>
      <c r="F59" s="39">
        <v>200000</v>
      </c>
      <c r="G59" s="39">
        <v>0</v>
      </c>
      <c r="H59" s="39">
        <v>0</v>
      </c>
      <c r="I59" s="38">
        <v>0</v>
      </c>
      <c r="J59" s="39">
        <v>0</v>
      </c>
      <c r="K59" s="39">
        <f t="shared" ref="K59:K61" si="33">SUM(L59:O59)</f>
        <v>198371</v>
      </c>
      <c r="L59" s="39">
        <v>198371</v>
      </c>
      <c r="M59" s="39">
        <v>0</v>
      </c>
      <c r="N59" s="39">
        <v>0</v>
      </c>
      <c r="O59" s="38">
        <v>0</v>
      </c>
      <c r="P59" s="42"/>
    </row>
    <row r="60" spans="1:16" s="77" customFormat="1" ht="15" customHeight="1">
      <c r="A60" s="73"/>
      <c r="B60" s="73"/>
      <c r="C60" s="55" t="s">
        <v>222</v>
      </c>
      <c r="D60" s="39">
        <v>0</v>
      </c>
      <c r="E60" s="39">
        <f t="shared" ref="E60" si="34">SUM(F60:I60)</f>
        <v>350000</v>
      </c>
      <c r="F60" s="39">
        <v>350000</v>
      </c>
      <c r="G60" s="39">
        <v>0</v>
      </c>
      <c r="H60" s="39">
        <v>0</v>
      </c>
      <c r="I60" s="39">
        <v>0</v>
      </c>
      <c r="J60" s="39">
        <v>0</v>
      </c>
      <c r="K60" s="39">
        <f t="shared" si="33"/>
        <v>349922</v>
      </c>
      <c r="L60" s="39">
        <f>216022+133900</f>
        <v>349922</v>
      </c>
      <c r="M60" s="39">
        <v>0</v>
      </c>
      <c r="N60" s="39">
        <v>0</v>
      </c>
      <c r="O60" s="39">
        <v>0</v>
      </c>
      <c r="P60" s="42"/>
    </row>
    <row r="61" spans="1:16" s="76" customFormat="1" ht="25.5">
      <c r="A61" s="75"/>
      <c r="B61" s="75"/>
      <c r="C61" s="43" t="s">
        <v>209</v>
      </c>
      <c r="D61" s="39">
        <v>0</v>
      </c>
      <c r="E61" s="39">
        <f t="shared" ref="E61" si="35">SUM(F61:I61)</f>
        <v>100000</v>
      </c>
      <c r="F61" s="39">
        <v>100000</v>
      </c>
      <c r="G61" s="39">
        <v>0</v>
      </c>
      <c r="H61" s="39">
        <v>0</v>
      </c>
      <c r="I61" s="38">
        <v>0</v>
      </c>
      <c r="J61" s="39">
        <v>0</v>
      </c>
      <c r="K61" s="39">
        <f t="shared" si="33"/>
        <v>99920</v>
      </c>
      <c r="L61" s="39">
        <v>99920</v>
      </c>
      <c r="M61" s="39">
        <v>0</v>
      </c>
      <c r="N61" s="39">
        <v>0</v>
      </c>
      <c r="O61" s="38">
        <v>0</v>
      </c>
      <c r="P61" s="42"/>
    </row>
    <row r="62" spans="1:16" ht="38.25" customHeight="1">
      <c r="A62" s="54"/>
      <c r="B62" s="54"/>
      <c r="C62" s="55" t="s">
        <v>220</v>
      </c>
      <c r="D62" s="39">
        <f>2812947+687053+127449</f>
        <v>3627449</v>
      </c>
      <c r="E62" s="39">
        <f t="shared" ref="E62" si="36">SUM(F62:I62)</f>
        <v>0</v>
      </c>
      <c r="F62" s="39">
        <v>0</v>
      </c>
      <c r="G62" s="39">
        <v>0</v>
      </c>
      <c r="H62" s="39">
        <v>0</v>
      </c>
      <c r="I62" s="38">
        <v>0</v>
      </c>
      <c r="J62" s="39">
        <v>3627211</v>
      </c>
      <c r="K62" s="39">
        <f t="shared" ref="K62" si="37">SUM(L62:O62)</f>
        <v>0</v>
      </c>
      <c r="L62" s="39">
        <v>0</v>
      </c>
      <c r="M62" s="39">
        <v>0</v>
      </c>
      <c r="N62" s="39">
        <v>0</v>
      </c>
      <c r="O62" s="38">
        <v>0</v>
      </c>
      <c r="P62" s="42"/>
    </row>
    <row r="63" spans="1:16" ht="15.75" hidden="1" customHeight="1">
      <c r="A63" s="54"/>
      <c r="B63" s="54"/>
      <c r="C63" s="55" t="s">
        <v>34</v>
      </c>
      <c r="D63" s="39">
        <v>0</v>
      </c>
      <c r="E63" s="39">
        <f t="shared" si="3"/>
        <v>0</v>
      </c>
      <c r="F63" s="39">
        <f>35000-35000</f>
        <v>0</v>
      </c>
      <c r="G63" s="39">
        <v>0</v>
      </c>
      <c r="H63" s="39">
        <v>0</v>
      </c>
      <c r="I63" s="38">
        <v>0</v>
      </c>
      <c r="J63" s="39"/>
      <c r="K63" s="39">
        <f t="shared" ref="K63:K75" si="38">SUM(L63:O63)</f>
        <v>0</v>
      </c>
      <c r="L63" s="39"/>
      <c r="M63" s="39"/>
      <c r="N63" s="39"/>
      <c r="O63" s="38"/>
      <c r="P63" s="42"/>
    </row>
    <row r="64" spans="1:16" ht="15" customHeight="1">
      <c r="A64" s="54"/>
      <c r="B64" s="54"/>
      <c r="C64" s="55" t="s">
        <v>35</v>
      </c>
      <c r="D64" s="39">
        <v>0</v>
      </c>
      <c r="E64" s="39">
        <f t="shared" si="3"/>
        <v>17207543</v>
      </c>
      <c r="F64" s="39">
        <f>3930000-30431+13344545-22000-34394-177</f>
        <v>17187543</v>
      </c>
      <c r="G64" s="39">
        <v>0</v>
      </c>
      <c r="H64" s="39">
        <v>20000</v>
      </c>
      <c r="I64" s="38">
        <v>0</v>
      </c>
      <c r="J64" s="39">
        <v>0</v>
      </c>
      <c r="K64" s="39">
        <f t="shared" si="38"/>
        <v>16923383</v>
      </c>
      <c r="L64" s="39">
        <f>3427787+13475596</f>
        <v>16903383</v>
      </c>
      <c r="M64" s="39">
        <v>0</v>
      </c>
      <c r="N64" s="39">
        <v>20000</v>
      </c>
      <c r="O64" s="38">
        <v>0</v>
      </c>
      <c r="P64" s="42"/>
    </row>
    <row r="65" spans="1:16" s="4" customFormat="1" ht="26.25" hidden="1" customHeight="1">
      <c r="A65" s="78"/>
      <c r="B65" s="78"/>
      <c r="C65" s="55" t="s">
        <v>179</v>
      </c>
      <c r="D65" s="39">
        <f>4061500+1678328-5639828+68900-168900</f>
        <v>0</v>
      </c>
      <c r="E65" s="39">
        <f t="shared" si="3"/>
        <v>0</v>
      </c>
      <c r="F65" s="39">
        <v>0</v>
      </c>
      <c r="G65" s="39">
        <v>0</v>
      </c>
      <c r="H65" s="39">
        <v>0</v>
      </c>
      <c r="I65" s="39">
        <v>0</v>
      </c>
      <c r="J65" s="39"/>
      <c r="K65" s="39">
        <f t="shared" si="38"/>
        <v>0</v>
      </c>
      <c r="L65" s="39"/>
      <c r="M65" s="39"/>
      <c r="N65" s="39"/>
      <c r="O65" s="39"/>
      <c r="P65" s="42"/>
    </row>
    <row r="66" spans="1:16" ht="27.75" hidden="1" customHeight="1">
      <c r="A66" s="54"/>
      <c r="B66" s="54"/>
      <c r="C66" s="43" t="s">
        <v>180</v>
      </c>
      <c r="D66" s="39">
        <v>0</v>
      </c>
      <c r="E66" s="39">
        <f t="shared" si="3"/>
        <v>0</v>
      </c>
      <c r="F66" s="39">
        <f>500000-500000</f>
        <v>0</v>
      </c>
      <c r="G66" s="39">
        <v>0</v>
      </c>
      <c r="H66" s="39">
        <v>0</v>
      </c>
      <c r="I66" s="38">
        <v>0</v>
      </c>
      <c r="J66" s="39"/>
      <c r="K66" s="39">
        <f t="shared" si="38"/>
        <v>0</v>
      </c>
      <c r="L66" s="39"/>
      <c r="M66" s="39"/>
      <c r="N66" s="39"/>
      <c r="O66" s="38"/>
      <c r="P66" s="42"/>
    </row>
    <row r="67" spans="1:16" ht="27" customHeight="1">
      <c r="A67" s="54"/>
      <c r="B67" s="54"/>
      <c r="C67" s="43" t="s">
        <v>36</v>
      </c>
      <c r="D67" s="39">
        <v>0</v>
      </c>
      <c r="E67" s="39">
        <f t="shared" si="3"/>
        <v>184500</v>
      </c>
      <c r="F67" s="39">
        <f>500000-315000-500</f>
        <v>184500</v>
      </c>
      <c r="G67" s="39">
        <v>0</v>
      </c>
      <c r="H67" s="39">
        <v>0</v>
      </c>
      <c r="I67" s="38">
        <v>0</v>
      </c>
      <c r="J67" s="39">
        <v>0</v>
      </c>
      <c r="K67" s="39">
        <f t="shared" si="38"/>
        <v>184500</v>
      </c>
      <c r="L67" s="39">
        <v>184500</v>
      </c>
      <c r="M67" s="39">
        <v>0</v>
      </c>
      <c r="N67" s="39">
        <v>0</v>
      </c>
      <c r="O67" s="38">
        <v>0</v>
      </c>
      <c r="P67" s="42"/>
    </row>
    <row r="68" spans="1:16" ht="28.5" customHeight="1">
      <c r="A68" s="54"/>
      <c r="B68" s="54"/>
      <c r="C68" s="43" t="s">
        <v>37</v>
      </c>
      <c r="D68" s="39">
        <v>0</v>
      </c>
      <c r="E68" s="39">
        <f t="shared" si="3"/>
        <v>282547</v>
      </c>
      <c r="F68" s="39">
        <f>700000-55000-297153-65300</f>
        <v>282547</v>
      </c>
      <c r="G68" s="39">
        <v>0</v>
      </c>
      <c r="H68" s="39">
        <v>0</v>
      </c>
      <c r="I68" s="38">
        <v>0</v>
      </c>
      <c r="J68" s="39">
        <v>0</v>
      </c>
      <c r="K68" s="39">
        <f t="shared" si="38"/>
        <v>282531</v>
      </c>
      <c r="L68" s="39">
        <v>282531</v>
      </c>
      <c r="M68" s="39">
        <v>0</v>
      </c>
      <c r="N68" s="39">
        <v>0</v>
      </c>
      <c r="O68" s="38">
        <v>0</v>
      </c>
      <c r="P68" s="42"/>
    </row>
    <row r="69" spans="1:16" ht="27.75" customHeight="1">
      <c r="A69" s="54"/>
      <c r="B69" s="54"/>
      <c r="C69" s="43" t="s">
        <v>38</v>
      </c>
      <c r="D69" s="39">
        <v>0</v>
      </c>
      <c r="E69" s="39">
        <f t="shared" si="3"/>
        <v>147600</v>
      </c>
      <c r="F69" s="39">
        <f>300000-152400</f>
        <v>147600</v>
      </c>
      <c r="G69" s="39">
        <v>0</v>
      </c>
      <c r="H69" s="39">
        <v>0</v>
      </c>
      <c r="I69" s="38">
        <v>0</v>
      </c>
      <c r="J69" s="39">
        <v>0</v>
      </c>
      <c r="K69" s="39">
        <f t="shared" si="38"/>
        <v>147600</v>
      </c>
      <c r="L69" s="39">
        <v>147600</v>
      </c>
      <c r="M69" s="39">
        <v>0</v>
      </c>
      <c r="N69" s="39">
        <v>0</v>
      </c>
      <c r="O69" s="38">
        <v>0</v>
      </c>
      <c r="P69" s="42"/>
    </row>
    <row r="70" spans="1:16" ht="30" customHeight="1">
      <c r="A70" s="54"/>
      <c r="B70" s="54"/>
      <c r="C70" s="53" t="s">
        <v>39</v>
      </c>
      <c r="D70" s="57">
        <v>0</v>
      </c>
      <c r="E70" s="57">
        <f t="shared" si="3"/>
        <v>150300</v>
      </c>
      <c r="F70" s="57">
        <f>500000-349700</f>
        <v>150300</v>
      </c>
      <c r="G70" s="57">
        <v>0</v>
      </c>
      <c r="H70" s="57">
        <v>0</v>
      </c>
      <c r="I70" s="56">
        <v>0</v>
      </c>
      <c r="J70" s="57">
        <v>0</v>
      </c>
      <c r="K70" s="57">
        <f t="shared" si="38"/>
        <v>150248</v>
      </c>
      <c r="L70" s="57">
        <v>150248</v>
      </c>
      <c r="M70" s="57">
        <v>0</v>
      </c>
      <c r="N70" s="57">
        <v>0</v>
      </c>
      <c r="O70" s="56">
        <v>0</v>
      </c>
      <c r="P70" s="42"/>
    </row>
    <row r="71" spans="1:16" ht="27.75" customHeight="1">
      <c r="A71" s="54"/>
      <c r="B71" s="54"/>
      <c r="C71" s="43" t="s">
        <v>40</v>
      </c>
      <c r="D71" s="39">
        <v>0</v>
      </c>
      <c r="E71" s="39">
        <f t="shared" si="3"/>
        <v>110100</v>
      </c>
      <c r="F71" s="39">
        <f>250000-139500-400</f>
        <v>110100</v>
      </c>
      <c r="G71" s="39">
        <v>0</v>
      </c>
      <c r="H71" s="39">
        <v>0</v>
      </c>
      <c r="I71" s="38">
        <v>0</v>
      </c>
      <c r="J71" s="39">
        <v>0</v>
      </c>
      <c r="K71" s="39">
        <f t="shared" si="38"/>
        <v>110096</v>
      </c>
      <c r="L71" s="39">
        <v>110096</v>
      </c>
      <c r="M71" s="39">
        <v>0</v>
      </c>
      <c r="N71" s="39">
        <v>0</v>
      </c>
      <c r="O71" s="38">
        <v>0</v>
      </c>
      <c r="P71" s="42"/>
    </row>
    <row r="72" spans="1:16" ht="17.25" customHeight="1">
      <c r="A72" s="54"/>
      <c r="B72" s="54"/>
      <c r="C72" s="43" t="s">
        <v>149</v>
      </c>
      <c r="D72" s="39">
        <v>0</v>
      </c>
      <c r="E72" s="39">
        <f t="shared" si="3"/>
        <v>53800</v>
      </c>
      <c r="F72" s="39">
        <f>55000-1200</f>
        <v>53800</v>
      </c>
      <c r="G72" s="39">
        <v>0</v>
      </c>
      <c r="H72" s="39">
        <v>0</v>
      </c>
      <c r="I72" s="38">
        <v>0</v>
      </c>
      <c r="J72" s="39">
        <v>0</v>
      </c>
      <c r="K72" s="39">
        <f t="shared" si="38"/>
        <v>53752</v>
      </c>
      <c r="L72" s="39">
        <v>53752</v>
      </c>
      <c r="M72" s="39">
        <v>0</v>
      </c>
      <c r="N72" s="39">
        <v>0</v>
      </c>
      <c r="O72" s="38">
        <v>0</v>
      </c>
      <c r="P72" s="42"/>
    </row>
    <row r="73" spans="1:16" ht="27.75" customHeight="1">
      <c r="A73" s="54"/>
      <c r="B73" s="54"/>
      <c r="C73" s="43" t="s">
        <v>181</v>
      </c>
      <c r="D73" s="39">
        <v>0</v>
      </c>
      <c r="E73" s="39">
        <f t="shared" si="3"/>
        <v>279750</v>
      </c>
      <c r="F73" s="39">
        <f>400000-120000-250</f>
        <v>279750</v>
      </c>
      <c r="G73" s="39">
        <v>0</v>
      </c>
      <c r="H73" s="39">
        <v>0</v>
      </c>
      <c r="I73" s="38">
        <v>0</v>
      </c>
      <c r="J73" s="39">
        <v>0</v>
      </c>
      <c r="K73" s="39">
        <f t="shared" si="38"/>
        <v>279702</v>
      </c>
      <c r="L73" s="39">
        <v>279702</v>
      </c>
      <c r="M73" s="39">
        <v>0</v>
      </c>
      <c r="N73" s="39">
        <v>0</v>
      </c>
      <c r="O73" s="38">
        <v>0</v>
      </c>
      <c r="P73" s="42"/>
    </row>
    <row r="74" spans="1:16" ht="28.5" customHeight="1">
      <c r="A74" s="54"/>
      <c r="B74" s="54"/>
      <c r="C74" s="43" t="s">
        <v>182</v>
      </c>
      <c r="D74" s="39">
        <v>0</v>
      </c>
      <c r="E74" s="39">
        <f t="shared" si="3"/>
        <v>306800</v>
      </c>
      <c r="F74" s="39">
        <f>600000-292000-1200</f>
        <v>306800</v>
      </c>
      <c r="G74" s="39">
        <v>0</v>
      </c>
      <c r="H74" s="39">
        <v>0</v>
      </c>
      <c r="I74" s="38">
        <v>0</v>
      </c>
      <c r="J74" s="39">
        <v>0</v>
      </c>
      <c r="K74" s="39">
        <f t="shared" si="38"/>
        <v>306762</v>
      </c>
      <c r="L74" s="39">
        <v>306762</v>
      </c>
      <c r="M74" s="39">
        <v>0</v>
      </c>
      <c r="N74" s="39">
        <v>0</v>
      </c>
      <c r="O74" s="38">
        <v>0</v>
      </c>
      <c r="P74" s="42"/>
    </row>
    <row r="75" spans="1:16" ht="27.75" customHeight="1">
      <c r="A75" s="54"/>
      <c r="B75" s="54"/>
      <c r="C75" s="43" t="s">
        <v>41</v>
      </c>
      <c r="D75" s="39">
        <v>0</v>
      </c>
      <c r="E75" s="39">
        <f t="shared" si="3"/>
        <v>362400</v>
      </c>
      <c r="F75" s="39">
        <f>950000-587500-100</f>
        <v>362400</v>
      </c>
      <c r="G75" s="39">
        <v>0</v>
      </c>
      <c r="H75" s="39">
        <v>0</v>
      </c>
      <c r="I75" s="38">
        <v>0</v>
      </c>
      <c r="J75" s="39">
        <v>0</v>
      </c>
      <c r="K75" s="39">
        <f t="shared" si="38"/>
        <v>362363</v>
      </c>
      <c r="L75" s="39">
        <v>362363</v>
      </c>
      <c r="M75" s="39">
        <v>0</v>
      </c>
      <c r="N75" s="39">
        <v>0</v>
      </c>
      <c r="O75" s="38">
        <v>0</v>
      </c>
      <c r="P75" s="42"/>
    </row>
    <row r="76" spans="1:16" s="81" customFormat="1" ht="15.75" customHeight="1">
      <c r="A76" s="79"/>
      <c r="B76" s="79"/>
      <c r="C76" s="80" t="s">
        <v>205</v>
      </c>
      <c r="D76" s="39">
        <v>0</v>
      </c>
      <c r="E76" s="39">
        <f t="shared" ref="E76" si="39">SUM(F76:I76)</f>
        <v>1900000</v>
      </c>
      <c r="F76" s="39">
        <v>1900000</v>
      </c>
      <c r="G76" s="39">
        <v>0</v>
      </c>
      <c r="H76" s="39">
        <v>0</v>
      </c>
      <c r="I76" s="38">
        <v>0</v>
      </c>
      <c r="J76" s="39">
        <v>0</v>
      </c>
      <c r="K76" s="39">
        <f t="shared" ref="K76" si="40">SUM(L76:O76)</f>
        <v>1899975</v>
      </c>
      <c r="L76" s="39">
        <f>1636775+263200</f>
        <v>1899975</v>
      </c>
      <c r="M76" s="39">
        <v>0</v>
      </c>
      <c r="N76" s="39">
        <v>0</v>
      </c>
      <c r="O76" s="38">
        <v>0</v>
      </c>
      <c r="P76" s="42"/>
    </row>
    <row r="77" spans="1:16" s="81" customFormat="1" ht="15.75" customHeight="1">
      <c r="A77" s="79"/>
      <c r="B77" s="79"/>
      <c r="C77" s="80" t="s">
        <v>206</v>
      </c>
      <c r="D77" s="39">
        <v>0</v>
      </c>
      <c r="E77" s="39">
        <f t="shared" ref="E77" si="41">SUM(F77:I77)</f>
        <v>789500</v>
      </c>
      <c r="F77" s="39">
        <f>800000-10500</f>
        <v>789500</v>
      </c>
      <c r="G77" s="39">
        <v>0</v>
      </c>
      <c r="H77" s="39">
        <v>0</v>
      </c>
      <c r="I77" s="38">
        <v>0</v>
      </c>
      <c r="J77" s="39">
        <v>0</v>
      </c>
      <c r="K77" s="39">
        <f t="shared" ref="K77" si="42">SUM(L77:O77)</f>
        <v>789340</v>
      </c>
      <c r="L77" s="39">
        <v>789340</v>
      </c>
      <c r="M77" s="39">
        <v>0</v>
      </c>
      <c r="N77" s="39">
        <v>0</v>
      </c>
      <c r="O77" s="38">
        <v>0</v>
      </c>
      <c r="P77" s="42"/>
    </row>
    <row r="78" spans="1:16" ht="27.75" customHeight="1">
      <c r="A78" s="54"/>
      <c r="B78" s="54"/>
      <c r="C78" s="43" t="s">
        <v>183</v>
      </c>
      <c r="D78" s="39">
        <v>0</v>
      </c>
      <c r="E78" s="39">
        <f t="shared" si="3"/>
        <v>299700</v>
      </c>
      <c r="F78" s="39">
        <f>300000-300</f>
        <v>299700</v>
      </c>
      <c r="G78" s="39">
        <v>0</v>
      </c>
      <c r="H78" s="39">
        <v>0</v>
      </c>
      <c r="I78" s="38">
        <v>0</v>
      </c>
      <c r="J78" s="39">
        <v>0</v>
      </c>
      <c r="K78" s="39">
        <f t="shared" ref="K78:K102" si="43">SUM(L78:O78)</f>
        <v>299668</v>
      </c>
      <c r="L78" s="39">
        <v>299668</v>
      </c>
      <c r="M78" s="39">
        <v>0</v>
      </c>
      <c r="N78" s="39">
        <v>0</v>
      </c>
      <c r="O78" s="38">
        <v>0</v>
      </c>
      <c r="P78" s="42"/>
    </row>
    <row r="79" spans="1:16" ht="15.75" hidden="1" customHeight="1">
      <c r="A79" s="54"/>
      <c r="B79" s="54"/>
      <c r="C79" s="43" t="s">
        <v>42</v>
      </c>
      <c r="D79" s="39">
        <v>0</v>
      </c>
      <c r="E79" s="39">
        <f t="shared" si="3"/>
        <v>0</v>
      </c>
      <c r="F79" s="39">
        <f>1000000-1000000</f>
        <v>0</v>
      </c>
      <c r="G79" s="39">
        <v>0</v>
      </c>
      <c r="H79" s="39">
        <v>0</v>
      </c>
      <c r="I79" s="38">
        <v>0</v>
      </c>
      <c r="J79" s="39"/>
      <c r="K79" s="39">
        <f t="shared" si="43"/>
        <v>0</v>
      </c>
      <c r="L79" s="39"/>
      <c r="M79" s="39"/>
      <c r="N79" s="39"/>
      <c r="O79" s="38"/>
      <c r="P79" s="42"/>
    </row>
    <row r="80" spans="1:16" ht="27" customHeight="1">
      <c r="A80" s="54"/>
      <c r="B80" s="54"/>
      <c r="C80" s="43" t="s">
        <v>44</v>
      </c>
      <c r="D80" s="39">
        <f>11930763+5113184+176750-7225428-1500000-4666433-1670219-1</f>
        <v>2158616</v>
      </c>
      <c r="E80" s="39">
        <f t="shared" si="3"/>
        <v>0</v>
      </c>
      <c r="F80" s="39">
        <v>0</v>
      </c>
      <c r="G80" s="39">
        <v>0</v>
      </c>
      <c r="H80" s="39">
        <v>0</v>
      </c>
      <c r="I80" s="38">
        <v>0</v>
      </c>
      <c r="J80" s="39">
        <f>876589+1151782</f>
        <v>2028371</v>
      </c>
      <c r="K80" s="39">
        <f t="shared" si="43"/>
        <v>0</v>
      </c>
      <c r="L80" s="39">
        <v>0</v>
      </c>
      <c r="M80" s="39">
        <v>0</v>
      </c>
      <c r="N80" s="39">
        <v>0</v>
      </c>
      <c r="O80" s="38">
        <v>0</v>
      </c>
      <c r="P80" s="42"/>
    </row>
    <row r="81" spans="1:16" ht="27" hidden="1" customHeight="1">
      <c r="A81" s="54"/>
      <c r="B81" s="54"/>
      <c r="C81" s="43" t="s">
        <v>45</v>
      </c>
      <c r="D81" s="39">
        <f>332462+82415+2404500-2801846-17531</f>
        <v>0</v>
      </c>
      <c r="E81" s="39">
        <f t="shared" si="3"/>
        <v>0</v>
      </c>
      <c r="F81" s="39">
        <v>0</v>
      </c>
      <c r="G81" s="39">
        <v>0</v>
      </c>
      <c r="H81" s="39">
        <v>0</v>
      </c>
      <c r="I81" s="38">
        <v>0</v>
      </c>
      <c r="J81" s="39"/>
      <c r="K81" s="39">
        <f t="shared" si="43"/>
        <v>0</v>
      </c>
      <c r="L81" s="39"/>
      <c r="M81" s="39"/>
      <c r="N81" s="39"/>
      <c r="O81" s="38"/>
      <c r="P81" s="42"/>
    </row>
    <row r="82" spans="1:16" ht="27" hidden="1" customHeight="1">
      <c r="A82" s="54"/>
      <c r="B82" s="54"/>
      <c r="C82" s="43" t="s">
        <v>46</v>
      </c>
      <c r="D82" s="39">
        <f>157151+38588+1820000-2008106-7633</f>
        <v>0</v>
      </c>
      <c r="E82" s="39">
        <f t="shared" si="3"/>
        <v>0</v>
      </c>
      <c r="F82" s="39">
        <v>0</v>
      </c>
      <c r="G82" s="39">
        <v>0</v>
      </c>
      <c r="H82" s="39">
        <v>0</v>
      </c>
      <c r="I82" s="38">
        <v>0</v>
      </c>
      <c r="J82" s="39"/>
      <c r="K82" s="39">
        <f t="shared" si="43"/>
        <v>0</v>
      </c>
      <c r="L82" s="39"/>
      <c r="M82" s="39"/>
      <c r="N82" s="39"/>
      <c r="O82" s="38"/>
      <c r="P82" s="42"/>
    </row>
    <row r="83" spans="1:16" ht="15.75" hidden="1" customHeight="1">
      <c r="A83" s="54"/>
      <c r="B83" s="54"/>
      <c r="C83" s="53" t="s">
        <v>47</v>
      </c>
      <c r="D83" s="57">
        <f>122175+52361+159000-333536</f>
        <v>0</v>
      </c>
      <c r="E83" s="57">
        <f t="shared" si="3"/>
        <v>0</v>
      </c>
      <c r="F83" s="57">
        <v>0</v>
      </c>
      <c r="G83" s="57">
        <v>0</v>
      </c>
      <c r="H83" s="57">
        <v>0</v>
      </c>
      <c r="I83" s="56">
        <v>0</v>
      </c>
      <c r="J83" s="57"/>
      <c r="K83" s="57">
        <f t="shared" si="43"/>
        <v>0</v>
      </c>
      <c r="L83" s="57"/>
      <c r="M83" s="57"/>
      <c r="N83" s="57"/>
      <c r="O83" s="56"/>
      <c r="P83" s="42"/>
    </row>
    <row r="84" spans="1:16" ht="27.75" hidden="1" customHeight="1">
      <c r="A84" s="54"/>
      <c r="B84" s="54"/>
      <c r="C84" s="43" t="s">
        <v>48</v>
      </c>
      <c r="D84" s="39">
        <f>1402090+349523+450500-2178690-23423</f>
        <v>0</v>
      </c>
      <c r="E84" s="39">
        <f t="shared" si="3"/>
        <v>0</v>
      </c>
      <c r="F84" s="39">
        <v>0</v>
      </c>
      <c r="G84" s="39">
        <v>0</v>
      </c>
      <c r="H84" s="39">
        <v>0</v>
      </c>
      <c r="I84" s="38">
        <v>0</v>
      </c>
      <c r="J84" s="39"/>
      <c r="K84" s="39">
        <f t="shared" si="43"/>
        <v>0</v>
      </c>
      <c r="L84" s="39"/>
      <c r="M84" s="39"/>
      <c r="N84" s="39"/>
      <c r="O84" s="38"/>
      <c r="P84" s="42"/>
    </row>
    <row r="85" spans="1:16" ht="16.5" hidden="1" customHeight="1">
      <c r="A85" s="54"/>
      <c r="B85" s="54"/>
      <c r="C85" s="43" t="s">
        <v>49</v>
      </c>
      <c r="D85" s="39">
        <f>1846107+460528+407250-2680787-33098</f>
        <v>0</v>
      </c>
      <c r="E85" s="39">
        <f t="shared" si="3"/>
        <v>0</v>
      </c>
      <c r="F85" s="39">
        <v>0</v>
      </c>
      <c r="G85" s="39">
        <v>0</v>
      </c>
      <c r="H85" s="39">
        <v>0</v>
      </c>
      <c r="I85" s="38">
        <v>0</v>
      </c>
      <c r="J85" s="39"/>
      <c r="K85" s="39">
        <f t="shared" si="43"/>
        <v>0</v>
      </c>
      <c r="L85" s="39"/>
      <c r="M85" s="39"/>
      <c r="N85" s="39"/>
      <c r="O85" s="38"/>
      <c r="P85" s="42"/>
    </row>
    <row r="86" spans="1:16" ht="16.5" customHeight="1">
      <c r="A86" s="58"/>
      <c r="B86" s="58"/>
      <c r="C86" s="43" t="s">
        <v>50</v>
      </c>
      <c r="D86" s="39">
        <f>4288495+5059782+261900-290-650000+60017</f>
        <v>9019904</v>
      </c>
      <c r="E86" s="39">
        <f t="shared" si="3"/>
        <v>0</v>
      </c>
      <c r="F86" s="39">
        <v>0</v>
      </c>
      <c r="G86" s="39">
        <v>0</v>
      </c>
      <c r="H86" s="39">
        <v>0</v>
      </c>
      <c r="I86" s="38">
        <v>0</v>
      </c>
      <c r="J86" s="39">
        <f>6652935+2366967</f>
        <v>9019902</v>
      </c>
      <c r="K86" s="39">
        <f t="shared" si="43"/>
        <v>0</v>
      </c>
      <c r="L86" s="39">
        <v>0</v>
      </c>
      <c r="M86" s="39">
        <v>0</v>
      </c>
      <c r="N86" s="39">
        <v>0</v>
      </c>
      <c r="O86" s="38">
        <v>0</v>
      </c>
      <c r="P86" s="44"/>
    </row>
    <row r="87" spans="1:16" ht="27.75" customHeight="1">
      <c r="A87" s="54"/>
      <c r="B87" s="54"/>
      <c r="C87" s="53" t="s">
        <v>184</v>
      </c>
      <c r="D87" s="57">
        <f>3331711+832228+534000-4689404-460</f>
        <v>8075</v>
      </c>
      <c r="E87" s="57">
        <f t="shared" si="3"/>
        <v>0</v>
      </c>
      <c r="F87" s="57">
        <v>0</v>
      </c>
      <c r="G87" s="57">
        <v>0</v>
      </c>
      <c r="H87" s="57">
        <v>0</v>
      </c>
      <c r="I87" s="56">
        <v>0</v>
      </c>
      <c r="J87" s="57">
        <v>8075</v>
      </c>
      <c r="K87" s="57">
        <f t="shared" si="43"/>
        <v>0</v>
      </c>
      <c r="L87" s="57">
        <v>0</v>
      </c>
      <c r="M87" s="57">
        <v>0</v>
      </c>
      <c r="N87" s="57">
        <v>0</v>
      </c>
      <c r="O87" s="56">
        <v>0</v>
      </c>
      <c r="P87" s="42" t="s">
        <v>31</v>
      </c>
    </row>
    <row r="88" spans="1:16" ht="27.75" customHeight="1">
      <c r="A88" s="54"/>
      <c r="B88" s="54"/>
      <c r="C88" s="43" t="s">
        <v>51</v>
      </c>
      <c r="D88" s="39">
        <f>4635348+1157838+540000-5909536-419960</f>
        <v>3690</v>
      </c>
      <c r="E88" s="39">
        <f t="shared" si="3"/>
        <v>0</v>
      </c>
      <c r="F88" s="39">
        <v>0</v>
      </c>
      <c r="G88" s="39">
        <v>0</v>
      </c>
      <c r="H88" s="39">
        <v>0</v>
      </c>
      <c r="I88" s="38">
        <v>0</v>
      </c>
      <c r="J88" s="39">
        <v>0</v>
      </c>
      <c r="K88" s="39">
        <f t="shared" si="43"/>
        <v>0</v>
      </c>
      <c r="L88" s="39">
        <v>0</v>
      </c>
      <c r="M88" s="39">
        <v>0</v>
      </c>
      <c r="N88" s="39">
        <v>0</v>
      </c>
      <c r="O88" s="38">
        <v>0</v>
      </c>
      <c r="P88" s="42"/>
    </row>
    <row r="89" spans="1:16" ht="27.75" hidden="1" customHeight="1">
      <c r="A89" s="54"/>
      <c r="B89" s="54"/>
      <c r="C89" s="43" t="s">
        <v>52</v>
      </c>
      <c r="D89" s="39">
        <f>188520+46131+899500-1000003-134148</f>
        <v>0</v>
      </c>
      <c r="E89" s="39">
        <f t="shared" si="3"/>
        <v>0</v>
      </c>
      <c r="F89" s="39">
        <v>0</v>
      </c>
      <c r="G89" s="39">
        <v>0</v>
      </c>
      <c r="H89" s="39">
        <v>0</v>
      </c>
      <c r="I89" s="38">
        <v>0</v>
      </c>
      <c r="J89" s="39"/>
      <c r="K89" s="39">
        <f t="shared" si="43"/>
        <v>0</v>
      </c>
      <c r="L89" s="39"/>
      <c r="M89" s="39"/>
      <c r="N89" s="39"/>
      <c r="O89" s="38"/>
      <c r="P89" s="42"/>
    </row>
    <row r="90" spans="1:16" ht="27.75" hidden="1" customHeight="1">
      <c r="A90" s="54"/>
      <c r="B90" s="54"/>
      <c r="C90" s="43" t="s">
        <v>53</v>
      </c>
      <c r="D90" s="39">
        <f>2460700+614176+1254000-4056053-272823</f>
        <v>0</v>
      </c>
      <c r="E90" s="39">
        <f t="shared" si="3"/>
        <v>0</v>
      </c>
      <c r="F90" s="39">
        <v>0</v>
      </c>
      <c r="G90" s="39">
        <v>0</v>
      </c>
      <c r="H90" s="39">
        <v>0</v>
      </c>
      <c r="I90" s="38">
        <v>0</v>
      </c>
      <c r="J90" s="39"/>
      <c r="K90" s="39">
        <f t="shared" si="43"/>
        <v>0</v>
      </c>
      <c r="L90" s="39"/>
      <c r="M90" s="39"/>
      <c r="N90" s="39"/>
      <c r="O90" s="38"/>
      <c r="P90" s="42"/>
    </row>
    <row r="91" spans="1:16" ht="27.75" hidden="1" customHeight="1">
      <c r="A91" s="54"/>
      <c r="B91" s="54"/>
      <c r="C91" s="43" t="s">
        <v>54</v>
      </c>
      <c r="D91" s="39">
        <f>234921+57731+395950-532556-156046</f>
        <v>0</v>
      </c>
      <c r="E91" s="39">
        <f t="shared" si="3"/>
        <v>0</v>
      </c>
      <c r="F91" s="39">
        <v>0</v>
      </c>
      <c r="G91" s="39">
        <v>0</v>
      </c>
      <c r="H91" s="39">
        <v>0</v>
      </c>
      <c r="I91" s="38">
        <v>0</v>
      </c>
      <c r="J91" s="39"/>
      <c r="K91" s="39">
        <f t="shared" si="43"/>
        <v>0</v>
      </c>
      <c r="L91" s="39"/>
      <c r="M91" s="39"/>
      <c r="N91" s="39"/>
      <c r="O91" s="38"/>
      <c r="P91" s="42"/>
    </row>
    <row r="92" spans="1:16" s="4" customFormat="1" ht="27.75" customHeight="1">
      <c r="A92" s="78"/>
      <c r="B92" s="78"/>
      <c r="C92" s="55" t="s">
        <v>204</v>
      </c>
      <c r="D92" s="39">
        <f>8074540+1986212+31965-3037272+15860+61251+435104+1740416-295177+34394+1</f>
        <v>9047294</v>
      </c>
      <c r="E92" s="39">
        <f t="shared" si="3"/>
        <v>0</v>
      </c>
      <c r="F92" s="39">
        <v>0</v>
      </c>
      <c r="G92" s="39">
        <v>0</v>
      </c>
      <c r="H92" s="39">
        <v>0</v>
      </c>
      <c r="I92" s="39">
        <v>0</v>
      </c>
      <c r="J92" s="39">
        <f>8918699+128594</f>
        <v>9047293</v>
      </c>
      <c r="K92" s="39">
        <f t="shared" si="43"/>
        <v>0</v>
      </c>
      <c r="L92" s="39">
        <v>0</v>
      </c>
      <c r="M92" s="39">
        <v>0</v>
      </c>
      <c r="N92" s="39">
        <v>0</v>
      </c>
      <c r="O92" s="39">
        <v>0</v>
      </c>
      <c r="P92" s="42"/>
    </row>
    <row r="93" spans="1:16" ht="42.75" customHeight="1">
      <c r="A93" s="54"/>
      <c r="B93" s="54"/>
      <c r="C93" s="43" t="s">
        <v>55</v>
      </c>
      <c r="D93" s="39">
        <f>1539465+384767+2124000-3983288-58289</f>
        <v>6655</v>
      </c>
      <c r="E93" s="39">
        <f t="shared" si="3"/>
        <v>0</v>
      </c>
      <c r="F93" s="39">
        <v>0</v>
      </c>
      <c r="G93" s="39">
        <v>0</v>
      </c>
      <c r="H93" s="39">
        <v>0</v>
      </c>
      <c r="I93" s="38">
        <v>0</v>
      </c>
      <c r="J93" s="39">
        <v>6655</v>
      </c>
      <c r="K93" s="39">
        <f t="shared" si="43"/>
        <v>0</v>
      </c>
      <c r="L93" s="39">
        <v>0</v>
      </c>
      <c r="M93" s="39">
        <v>0</v>
      </c>
      <c r="N93" s="39">
        <v>0</v>
      </c>
      <c r="O93" s="38">
        <v>0</v>
      </c>
      <c r="P93" s="42"/>
    </row>
    <row r="94" spans="1:16" ht="42" customHeight="1">
      <c r="A94" s="54"/>
      <c r="B94" s="54"/>
      <c r="C94" s="53" t="s">
        <v>185</v>
      </c>
      <c r="D94" s="57">
        <f>8793051+2198163+1108500-7923349-435104-1740416-1217678+177</f>
        <v>783344</v>
      </c>
      <c r="E94" s="57">
        <f t="shared" si="3"/>
        <v>0</v>
      </c>
      <c r="F94" s="57">
        <v>0</v>
      </c>
      <c r="G94" s="57">
        <v>0</v>
      </c>
      <c r="H94" s="57">
        <v>0</v>
      </c>
      <c r="I94" s="56">
        <v>0</v>
      </c>
      <c r="J94" s="57">
        <f>481445+301371</f>
        <v>782816</v>
      </c>
      <c r="K94" s="57">
        <f t="shared" si="43"/>
        <v>0</v>
      </c>
      <c r="L94" s="57">
        <v>0</v>
      </c>
      <c r="M94" s="57">
        <v>0</v>
      </c>
      <c r="N94" s="57">
        <v>0</v>
      </c>
      <c r="O94" s="56">
        <v>0</v>
      </c>
      <c r="P94" s="42"/>
    </row>
    <row r="95" spans="1:16" ht="29.25" customHeight="1">
      <c r="A95" s="54"/>
      <c r="B95" s="54"/>
      <c r="C95" s="43" t="s">
        <v>56</v>
      </c>
      <c r="D95" s="39">
        <f>1407292+351723+3170000-4864071-58289</f>
        <v>6655</v>
      </c>
      <c r="E95" s="39">
        <f t="shared" si="3"/>
        <v>0</v>
      </c>
      <c r="F95" s="39">
        <v>0</v>
      </c>
      <c r="G95" s="39">
        <v>0</v>
      </c>
      <c r="H95" s="39">
        <v>0</v>
      </c>
      <c r="I95" s="38">
        <v>0</v>
      </c>
      <c r="J95" s="39">
        <v>6655</v>
      </c>
      <c r="K95" s="39">
        <f t="shared" si="43"/>
        <v>0</v>
      </c>
      <c r="L95" s="39">
        <v>0</v>
      </c>
      <c r="M95" s="39">
        <v>0</v>
      </c>
      <c r="N95" s="39">
        <v>0</v>
      </c>
      <c r="O95" s="38">
        <v>0</v>
      </c>
      <c r="P95" s="42"/>
    </row>
    <row r="96" spans="1:16" ht="39.75" customHeight="1">
      <c r="A96" s="54"/>
      <c r="B96" s="54"/>
      <c r="C96" s="43" t="s">
        <v>186</v>
      </c>
      <c r="D96" s="39">
        <f>2035151+508688+616000-3086329+650000-65989</f>
        <v>657521</v>
      </c>
      <c r="E96" s="39">
        <f t="shared" si="3"/>
        <v>0</v>
      </c>
      <c r="F96" s="39">
        <v>0</v>
      </c>
      <c r="G96" s="39">
        <v>0</v>
      </c>
      <c r="H96" s="39">
        <v>0</v>
      </c>
      <c r="I96" s="38">
        <v>0</v>
      </c>
      <c r="J96" s="39">
        <v>657521</v>
      </c>
      <c r="K96" s="39">
        <f t="shared" si="43"/>
        <v>0</v>
      </c>
      <c r="L96" s="39">
        <v>0</v>
      </c>
      <c r="M96" s="39">
        <v>0</v>
      </c>
      <c r="N96" s="39">
        <v>0</v>
      </c>
      <c r="O96" s="38">
        <v>0</v>
      </c>
      <c r="P96" s="42"/>
    </row>
    <row r="97" spans="1:16" ht="27" customHeight="1">
      <c r="A97" s="54"/>
      <c r="B97" s="54"/>
      <c r="C97" s="53" t="s">
        <v>57</v>
      </c>
      <c r="D97" s="57">
        <f>8385715+3593878+1050000-4863423-2000000-3499769-2116207</f>
        <v>550194</v>
      </c>
      <c r="E97" s="57">
        <f t="shared" si="3"/>
        <v>0</v>
      </c>
      <c r="F97" s="57">
        <v>0</v>
      </c>
      <c r="G97" s="57">
        <v>0</v>
      </c>
      <c r="H97" s="57">
        <v>0</v>
      </c>
      <c r="I97" s="56">
        <v>0</v>
      </c>
      <c r="J97" s="57">
        <f>142461+407732</f>
        <v>550193</v>
      </c>
      <c r="K97" s="57">
        <f t="shared" si="43"/>
        <v>0</v>
      </c>
      <c r="L97" s="57">
        <v>0</v>
      </c>
      <c r="M97" s="57">
        <v>0</v>
      </c>
      <c r="N97" s="57">
        <v>0</v>
      </c>
      <c r="O97" s="56">
        <v>0</v>
      </c>
      <c r="P97" s="42"/>
    </row>
    <row r="98" spans="1:16" ht="29.25" hidden="1" customHeight="1">
      <c r="A98" s="54"/>
      <c r="B98" s="54"/>
      <c r="C98" s="43" t="s">
        <v>58</v>
      </c>
      <c r="D98" s="39">
        <f>1182407+294601+323000-1667555-132453</f>
        <v>0</v>
      </c>
      <c r="E98" s="39">
        <f t="shared" si="3"/>
        <v>0</v>
      </c>
      <c r="F98" s="39">
        <v>0</v>
      </c>
      <c r="G98" s="39">
        <v>0</v>
      </c>
      <c r="H98" s="39">
        <v>0</v>
      </c>
      <c r="I98" s="38">
        <v>0</v>
      </c>
      <c r="J98" s="39"/>
      <c r="K98" s="39">
        <f t="shared" si="43"/>
        <v>0</v>
      </c>
      <c r="L98" s="39"/>
      <c r="M98" s="39"/>
      <c r="N98" s="39"/>
      <c r="O98" s="38"/>
      <c r="P98" s="42"/>
    </row>
    <row r="99" spans="1:16" ht="25.5" customHeight="1">
      <c r="A99" s="54"/>
      <c r="B99" s="54"/>
      <c r="C99" s="53" t="s">
        <v>193</v>
      </c>
      <c r="D99" s="57">
        <v>0</v>
      </c>
      <c r="E99" s="57">
        <f t="shared" si="3"/>
        <v>30431</v>
      </c>
      <c r="F99" s="57">
        <v>30431</v>
      </c>
      <c r="G99" s="57">
        <v>0</v>
      </c>
      <c r="H99" s="57">
        <v>0</v>
      </c>
      <c r="I99" s="56">
        <v>0</v>
      </c>
      <c r="J99" s="57">
        <v>0</v>
      </c>
      <c r="K99" s="57">
        <f t="shared" si="43"/>
        <v>30431</v>
      </c>
      <c r="L99" s="57">
        <v>30431</v>
      </c>
      <c r="M99" s="57">
        <v>0</v>
      </c>
      <c r="N99" s="57">
        <v>0</v>
      </c>
      <c r="O99" s="56">
        <v>0</v>
      </c>
      <c r="P99" s="42"/>
    </row>
    <row r="100" spans="1:16" s="4" customFormat="1" ht="42" customHeight="1">
      <c r="A100" s="78"/>
      <c r="B100" s="78"/>
      <c r="C100" s="55" t="s">
        <v>171</v>
      </c>
      <c r="D100" s="39">
        <v>0</v>
      </c>
      <c r="E100" s="39">
        <f t="shared" si="3"/>
        <v>1306951</v>
      </c>
      <c r="F100" s="39">
        <f>1000000-185300-7749</f>
        <v>806951</v>
      </c>
      <c r="G100" s="39">
        <v>0</v>
      </c>
      <c r="H100" s="39">
        <v>500000</v>
      </c>
      <c r="I100" s="39">
        <v>0</v>
      </c>
      <c r="J100" s="39">
        <v>0</v>
      </c>
      <c r="K100" s="39">
        <f t="shared" si="43"/>
        <v>1147877</v>
      </c>
      <c r="L100" s="39">
        <v>806861</v>
      </c>
      <c r="M100" s="39">
        <v>0</v>
      </c>
      <c r="N100" s="39">
        <v>341016</v>
      </c>
      <c r="O100" s="39">
        <v>0</v>
      </c>
      <c r="P100" s="42"/>
    </row>
    <row r="101" spans="1:16" ht="27.75" customHeight="1">
      <c r="A101" s="54"/>
      <c r="B101" s="54"/>
      <c r="C101" s="55" t="s">
        <v>43</v>
      </c>
      <c r="D101" s="39">
        <v>0</v>
      </c>
      <c r="E101" s="39">
        <f t="shared" si="3"/>
        <v>77516</v>
      </c>
      <c r="F101" s="39">
        <f>109000-18479-13005</f>
        <v>77516</v>
      </c>
      <c r="G101" s="39">
        <v>0</v>
      </c>
      <c r="H101" s="39">
        <v>0</v>
      </c>
      <c r="I101" s="39">
        <v>0</v>
      </c>
      <c r="J101" s="39">
        <v>0</v>
      </c>
      <c r="K101" s="39">
        <f t="shared" si="43"/>
        <v>77516</v>
      </c>
      <c r="L101" s="39">
        <v>77516</v>
      </c>
      <c r="M101" s="39">
        <v>0</v>
      </c>
      <c r="N101" s="39">
        <v>0</v>
      </c>
      <c r="O101" s="39">
        <v>0</v>
      </c>
      <c r="P101" s="42"/>
    </row>
    <row r="102" spans="1:16" ht="27.75" customHeight="1">
      <c r="A102" s="54"/>
      <c r="B102" s="54"/>
      <c r="C102" s="55" t="s">
        <v>221</v>
      </c>
      <c r="D102" s="39">
        <v>0</v>
      </c>
      <c r="E102" s="39">
        <f t="shared" si="3"/>
        <v>13005</v>
      </c>
      <c r="F102" s="39">
        <v>13005</v>
      </c>
      <c r="G102" s="39">
        <v>0</v>
      </c>
      <c r="H102" s="39">
        <v>0</v>
      </c>
      <c r="I102" s="39">
        <v>0</v>
      </c>
      <c r="J102" s="39">
        <v>0</v>
      </c>
      <c r="K102" s="39">
        <f t="shared" si="43"/>
        <v>8610</v>
      </c>
      <c r="L102" s="39">
        <v>8610</v>
      </c>
      <c r="M102" s="39">
        <v>0</v>
      </c>
      <c r="N102" s="39">
        <v>0</v>
      </c>
      <c r="O102" s="39">
        <v>0</v>
      </c>
      <c r="P102" s="42"/>
    </row>
    <row r="103" spans="1:16" ht="17.25" customHeight="1">
      <c r="A103" s="54"/>
      <c r="B103" s="54"/>
      <c r="C103" s="43" t="s">
        <v>59</v>
      </c>
      <c r="D103" s="38">
        <v>0</v>
      </c>
      <c r="E103" s="38">
        <f t="shared" ref="E103:E107" si="44">SUM(F103:I103)</f>
        <v>819479</v>
      </c>
      <c r="F103" s="39">
        <f>856000-36521</f>
        <v>819479</v>
      </c>
      <c r="G103" s="38">
        <v>0</v>
      </c>
      <c r="H103" s="38">
        <v>0</v>
      </c>
      <c r="I103" s="38">
        <v>0</v>
      </c>
      <c r="J103" s="39">
        <v>0</v>
      </c>
      <c r="K103" s="38">
        <f t="shared" ref="K103:K107" si="45">SUM(L103:O103)</f>
        <v>819479</v>
      </c>
      <c r="L103" s="39">
        <v>819479</v>
      </c>
      <c r="M103" s="38">
        <v>0</v>
      </c>
      <c r="N103" s="38">
        <v>0</v>
      </c>
      <c r="O103" s="38">
        <v>0</v>
      </c>
      <c r="P103" s="42"/>
    </row>
    <row r="104" spans="1:16" ht="27.75" customHeight="1">
      <c r="A104" s="54"/>
      <c r="B104" s="54"/>
      <c r="C104" s="55" t="s">
        <v>224</v>
      </c>
      <c r="D104" s="39">
        <v>0</v>
      </c>
      <c r="E104" s="39">
        <f t="shared" si="44"/>
        <v>65203</v>
      </c>
      <c r="F104" s="39">
        <v>65203</v>
      </c>
      <c r="G104" s="39">
        <v>0</v>
      </c>
      <c r="H104" s="39">
        <v>0</v>
      </c>
      <c r="I104" s="39">
        <v>0</v>
      </c>
      <c r="J104" s="39">
        <v>0</v>
      </c>
      <c r="K104" s="39">
        <f t="shared" si="45"/>
        <v>65202</v>
      </c>
      <c r="L104" s="39">
        <v>65202</v>
      </c>
      <c r="M104" s="39">
        <v>0</v>
      </c>
      <c r="N104" s="39">
        <v>0</v>
      </c>
      <c r="O104" s="39">
        <v>0</v>
      </c>
      <c r="P104" s="42"/>
    </row>
    <row r="105" spans="1:16" ht="27.75" customHeight="1">
      <c r="A105" s="54"/>
      <c r="B105" s="54"/>
      <c r="C105" s="55" t="s">
        <v>225</v>
      </c>
      <c r="D105" s="39">
        <v>0</v>
      </c>
      <c r="E105" s="39">
        <f t="shared" si="44"/>
        <v>63516</v>
      </c>
      <c r="F105" s="39">
        <v>63516</v>
      </c>
      <c r="G105" s="39">
        <v>0</v>
      </c>
      <c r="H105" s="39">
        <v>0</v>
      </c>
      <c r="I105" s="39">
        <v>0</v>
      </c>
      <c r="J105" s="39">
        <v>0</v>
      </c>
      <c r="K105" s="39">
        <f t="shared" si="45"/>
        <v>63516</v>
      </c>
      <c r="L105" s="39">
        <v>63516</v>
      </c>
      <c r="M105" s="39">
        <v>0</v>
      </c>
      <c r="N105" s="39">
        <v>0</v>
      </c>
      <c r="O105" s="39">
        <v>0</v>
      </c>
      <c r="P105" s="42"/>
    </row>
    <row r="106" spans="1:16" ht="27.75" customHeight="1">
      <c r="A106" s="54"/>
      <c r="B106" s="54"/>
      <c r="C106" s="55" t="s">
        <v>226</v>
      </c>
      <c r="D106" s="39">
        <v>0</v>
      </c>
      <c r="E106" s="39">
        <f t="shared" si="44"/>
        <v>652401</v>
      </c>
      <c r="F106" s="39">
        <v>652401</v>
      </c>
      <c r="G106" s="39">
        <v>0</v>
      </c>
      <c r="H106" s="39">
        <v>0</v>
      </c>
      <c r="I106" s="39">
        <v>0</v>
      </c>
      <c r="J106" s="39">
        <v>0</v>
      </c>
      <c r="K106" s="39">
        <f t="shared" si="45"/>
        <v>652400</v>
      </c>
      <c r="L106" s="39">
        <v>652400</v>
      </c>
      <c r="M106" s="39">
        <v>0</v>
      </c>
      <c r="N106" s="39">
        <v>0</v>
      </c>
      <c r="O106" s="39">
        <v>0</v>
      </c>
      <c r="P106" s="42"/>
    </row>
    <row r="107" spans="1:16" ht="25.5">
      <c r="A107" s="54"/>
      <c r="B107" s="58"/>
      <c r="C107" s="55" t="s">
        <v>227</v>
      </c>
      <c r="D107" s="39">
        <v>0</v>
      </c>
      <c r="E107" s="39">
        <f t="shared" si="44"/>
        <v>204795</v>
      </c>
      <c r="F107" s="39">
        <v>204795</v>
      </c>
      <c r="G107" s="39">
        <v>0</v>
      </c>
      <c r="H107" s="39">
        <v>0</v>
      </c>
      <c r="I107" s="39">
        <v>0</v>
      </c>
      <c r="J107" s="39">
        <v>0</v>
      </c>
      <c r="K107" s="39">
        <f t="shared" si="45"/>
        <v>204795</v>
      </c>
      <c r="L107" s="39">
        <v>204795</v>
      </c>
      <c r="M107" s="39">
        <v>0</v>
      </c>
      <c r="N107" s="39">
        <v>0</v>
      </c>
      <c r="O107" s="39">
        <v>0</v>
      </c>
      <c r="P107" s="44"/>
    </row>
    <row r="108" spans="1:16" s="33" customFormat="1" ht="17.25" customHeight="1">
      <c r="A108" s="59"/>
      <c r="B108" s="60" t="s">
        <v>151</v>
      </c>
      <c r="C108" s="61" t="s">
        <v>152</v>
      </c>
      <c r="D108" s="62">
        <f>SUM(D109:D110)</f>
        <v>0</v>
      </c>
      <c r="E108" s="62">
        <f t="shared" ref="E108:I108" si="46">SUM(E109:E110)</f>
        <v>200528</v>
      </c>
      <c r="F108" s="62">
        <f t="shared" si="46"/>
        <v>200528</v>
      </c>
      <c r="G108" s="62">
        <f t="shared" si="46"/>
        <v>0</v>
      </c>
      <c r="H108" s="62">
        <f t="shared" si="46"/>
        <v>0</v>
      </c>
      <c r="I108" s="62">
        <f t="shared" si="46"/>
        <v>0</v>
      </c>
      <c r="J108" s="63">
        <f>SUM(J109:J110)</f>
        <v>0</v>
      </c>
      <c r="K108" s="62">
        <f t="shared" ref="K108:O108" si="47">SUM(K109:K110)</f>
        <v>166440</v>
      </c>
      <c r="L108" s="62">
        <f t="shared" si="47"/>
        <v>166440</v>
      </c>
      <c r="M108" s="62">
        <f t="shared" si="47"/>
        <v>0</v>
      </c>
      <c r="N108" s="62">
        <f t="shared" si="47"/>
        <v>0</v>
      </c>
      <c r="O108" s="62">
        <f t="shared" si="47"/>
        <v>0</v>
      </c>
      <c r="P108" s="82"/>
    </row>
    <row r="109" spans="1:16" ht="25.5" customHeight="1">
      <c r="A109" s="54"/>
      <c r="B109" s="83"/>
      <c r="C109" s="53" t="s">
        <v>153</v>
      </c>
      <c r="D109" s="38">
        <v>0</v>
      </c>
      <c r="E109" s="38">
        <f>SUM(F109:I109)</f>
        <v>130528</v>
      </c>
      <c r="F109" s="39">
        <v>130528</v>
      </c>
      <c r="G109" s="38">
        <v>0</v>
      </c>
      <c r="H109" s="38">
        <v>0</v>
      </c>
      <c r="I109" s="38">
        <v>0</v>
      </c>
      <c r="J109" s="39">
        <v>0</v>
      </c>
      <c r="K109" s="38">
        <f>SUM(L109:O109)</f>
        <v>96570</v>
      </c>
      <c r="L109" s="39">
        <v>96570</v>
      </c>
      <c r="M109" s="38">
        <v>0</v>
      </c>
      <c r="N109" s="38">
        <v>0</v>
      </c>
      <c r="O109" s="38">
        <v>0</v>
      </c>
      <c r="P109" s="40" t="s">
        <v>31</v>
      </c>
    </row>
    <row r="110" spans="1:16" ht="23.25" customHeight="1">
      <c r="A110" s="54"/>
      <c r="B110" s="58"/>
      <c r="C110" s="71" t="s">
        <v>230</v>
      </c>
      <c r="D110" s="39">
        <v>0</v>
      </c>
      <c r="E110" s="39">
        <f>SUM(F110:I110)</f>
        <v>70000</v>
      </c>
      <c r="F110" s="39">
        <v>70000</v>
      </c>
      <c r="G110" s="39">
        <v>0</v>
      </c>
      <c r="H110" s="39">
        <v>0</v>
      </c>
      <c r="I110" s="39">
        <v>0</v>
      </c>
      <c r="J110" s="39">
        <v>0</v>
      </c>
      <c r="K110" s="39">
        <f>SUM(L110:O110)</f>
        <v>69870</v>
      </c>
      <c r="L110" s="39">
        <v>69870</v>
      </c>
      <c r="M110" s="39">
        <v>0</v>
      </c>
      <c r="N110" s="39">
        <v>0</v>
      </c>
      <c r="O110" s="39">
        <v>0</v>
      </c>
      <c r="P110" s="44"/>
    </row>
    <row r="111" spans="1:16" s="34" customFormat="1" ht="15.75" customHeight="1">
      <c r="A111" s="46"/>
      <c r="B111" s="60" t="s">
        <v>60</v>
      </c>
      <c r="C111" s="61" t="s">
        <v>116</v>
      </c>
      <c r="D111" s="62">
        <f t="shared" ref="D111:O111" si="48">D112</f>
        <v>250000</v>
      </c>
      <c r="E111" s="62">
        <f t="shared" si="48"/>
        <v>0</v>
      </c>
      <c r="F111" s="62">
        <f t="shared" si="48"/>
        <v>0</v>
      </c>
      <c r="G111" s="62">
        <f t="shared" si="48"/>
        <v>0</v>
      </c>
      <c r="H111" s="62">
        <f t="shared" si="48"/>
        <v>0</v>
      </c>
      <c r="I111" s="62">
        <f t="shared" si="48"/>
        <v>0</v>
      </c>
      <c r="J111" s="63">
        <f t="shared" si="48"/>
        <v>0</v>
      </c>
      <c r="K111" s="62">
        <f t="shared" si="48"/>
        <v>0</v>
      </c>
      <c r="L111" s="62">
        <f t="shared" si="48"/>
        <v>0</v>
      </c>
      <c r="M111" s="62">
        <f t="shared" si="48"/>
        <v>0</v>
      </c>
      <c r="N111" s="62">
        <f t="shared" si="48"/>
        <v>0</v>
      </c>
      <c r="O111" s="62">
        <f t="shared" si="48"/>
        <v>0</v>
      </c>
      <c r="P111" s="72"/>
    </row>
    <row r="112" spans="1:16" s="76" customFormat="1" ht="17.25" customHeight="1">
      <c r="A112" s="35"/>
      <c r="B112" s="35"/>
      <c r="C112" s="43" t="s">
        <v>61</v>
      </c>
      <c r="D112" s="39">
        <f>20274592+9063935-28538527-345530-154470-50000</f>
        <v>250000</v>
      </c>
      <c r="E112" s="38">
        <f>SUM(F112:I112)</f>
        <v>0</v>
      </c>
      <c r="F112" s="38">
        <v>0</v>
      </c>
      <c r="G112" s="38">
        <v>0</v>
      </c>
      <c r="H112" s="38">
        <v>0</v>
      </c>
      <c r="I112" s="38">
        <v>0</v>
      </c>
      <c r="J112" s="39">
        <v>0</v>
      </c>
      <c r="K112" s="38">
        <f>SUM(L112:O112)</f>
        <v>0</v>
      </c>
      <c r="L112" s="38">
        <v>0</v>
      </c>
      <c r="M112" s="38">
        <v>0</v>
      </c>
      <c r="N112" s="38">
        <v>0</v>
      </c>
      <c r="O112" s="38">
        <v>0</v>
      </c>
      <c r="P112" s="65" t="s">
        <v>18</v>
      </c>
    </row>
    <row r="113" spans="1:16" s="34" customFormat="1" ht="15.75" customHeight="1">
      <c r="A113" s="46"/>
      <c r="B113" s="67" t="s">
        <v>62</v>
      </c>
      <c r="C113" s="84" t="s">
        <v>117</v>
      </c>
      <c r="D113" s="49">
        <f>SUM(D114:D117)</f>
        <v>16974593</v>
      </c>
      <c r="E113" s="49">
        <f t="shared" ref="E113:I113" si="49">SUM(E114:E116)</f>
        <v>0</v>
      </c>
      <c r="F113" s="49">
        <f t="shared" si="49"/>
        <v>0</v>
      </c>
      <c r="G113" s="49">
        <f t="shared" si="49"/>
        <v>0</v>
      </c>
      <c r="H113" s="49">
        <f t="shared" si="49"/>
        <v>0</v>
      </c>
      <c r="I113" s="49">
        <f t="shared" si="49"/>
        <v>0</v>
      </c>
      <c r="J113" s="50">
        <f>SUM(J114:J117)</f>
        <v>16573123</v>
      </c>
      <c r="K113" s="49">
        <f t="shared" ref="K113:O113" si="50">SUM(K114:K116)</f>
        <v>0</v>
      </c>
      <c r="L113" s="49">
        <f t="shared" si="50"/>
        <v>0</v>
      </c>
      <c r="M113" s="49">
        <f t="shared" si="50"/>
        <v>0</v>
      </c>
      <c r="N113" s="49">
        <f t="shared" si="50"/>
        <v>0</v>
      </c>
      <c r="O113" s="49">
        <f t="shared" si="50"/>
        <v>0</v>
      </c>
      <c r="P113" s="32"/>
    </row>
    <row r="114" spans="1:16" ht="18" customHeight="1">
      <c r="A114" s="35"/>
      <c r="B114" s="36"/>
      <c r="C114" s="43" t="s">
        <v>63</v>
      </c>
      <c r="D114" s="38">
        <v>73912</v>
      </c>
      <c r="E114" s="38">
        <f>SUM(F114:I114)</f>
        <v>0</v>
      </c>
      <c r="F114" s="38">
        <v>0</v>
      </c>
      <c r="G114" s="38">
        <v>0</v>
      </c>
      <c r="H114" s="38">
        <v>0</v>
      </c>
      <c r="I114" s="38">
        <v>0</v>
      </c>
      <c r="J114" s="39">
        <v>69589</v>
      </c>
      <c r="K114" s="38">
        <f>SUM(L114:O114)</f>
        <v>0</v>
      </c>
      <c r="L114" s="38">
        <v>0</v>
      </c>
      <c r="M114" s="38">
        <v>0</v>
      </c>
      <c r="N114" s="38">
        <v>0</v>
      </c>
      <c r="O114" s="38">
        <v>0</v>
      </c>
      <c r="P114" s="40" t="s">
        <v>18</v>
      </c>
    </row>
    <row r="115" spans="1:16" ht="43.5" hidden="1" customHeight="1">
      <c r="A115" s="35"/>
      <c r="B115" s="36"/>
      <c r="C115" s="85" t="s">
        <v>187</v>
      </c>
      <c r="D115" s="57">
        <f>1620362+285946-1906308</f>
        <v>0</v>
      </c>
      <c r="E115" s="56">
        <f>SUM(F115:I115)</f>
        <v>0</v>
      </c>
      <c r="F115" s="56">
        <v>0</v>
      </c>
      <c r="G115" s="56">
        <v>0</v>
      </c>
      <c r="H115" s="56">
        <v>0</v>
      </c>
      <c r="I115" s="56">
        <v>0</v>
      </c>
      <c r="J115" s="57"/>
      <c r="K115" s="56">
        <f>SUM(L115:O115)</f>
        <v>0</v>
      </c>
      <c r="L115" s="56"/>
      <c r="M115" s="56"/>
      <c r="N115" s="56"/>
      <c r="O115" s="56"/>
      <c r="P115" s="42"/>
    </row>
    <row r="116" spans="1:16" ht="29.25" customHeight="1">
      <c r="A116" s="54"/>
      <c r="B116" s="54"/>
      <c r="C116" s="55" t="s">
        <v>194</v>
      </c>
      <c r="D116" s="39">
        <f>11617148+2382789+2802033+132000-18539-14750</f>
        <v>16900681</v>
      </c>
      <c r="E116" s="39">
        <f t="shared" si="3"/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16503534</v>
      </c>
      <c r="K116" s="39">
        <f t="shared" ref="K116" si="51">SUM(L116:O116)</f>
        <v>0</v>
      </c>
      <c r="L116" s="39">
        <v>0</v>
      </c>
      <c r="M116" s="39">
        <v>0</v>
      </c>
      <c r="N116" s="39">
        <v>0</v>
      </c>
      <c r="O116" s="39">
        <v>0</v>
      </c>
      <c r="P116" s="42"/>
    </row>
    <row r="117" spans="1:16" ht="31.5" hidden="1" customHeight="1">
      <c r="A117" s="58"/>
      <c r="B117" s="58"/>
      <c r="C117" s="55" t="s">
        <v>217</v>
      </c>
      <c r="D117" s="39">
        <f>233700-233700</f>
        <v>0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/>
      <c r="K117" s="39">
        <v>0</v>
      </c>
      <c r="L117" s="39"/>
      <c r="M117" s="39"/>
      <c r="N117" s="39"/>
      <c r="O117" s="39"/>
      <c r="P117" s="44"/>
    </row>
    <row r="118" spans="1:16" s="26" customFormat="1" ht="14.25" customHeight="1">
      <c r="A118" s="21" t="s">
        <v>64</v>
      </c>
      <c r="B118" s="21"/>
      <c r="C118" s="86" t="s">
        <v>118</v>
      </c>
      <c r="D118" s="23">
        <f t="shared" ref="D118:I118" si="52">D119+D121</f>
        <v>2755267</v>
      </c>
      <c r="E118" s="23">
        <f t="shared" si="52"/>
        <v>0</v>
      </c>
      <c r="F118" s="23">
        <f t="shared" si="52"/>
        <v>0</v>
      </c>
      <c r="G118" s="23">
        <f t="shared" si="52"/>
        <v>0</v>
      </c>
      <c r="H118" s="23">
        <f t="shared" si="52"/>
        <v>0</v>
      </c>
      <c r="I118" s="23">
        <f t="shared" si="52"/>
        <v>0</v>
      </c>
      <c r="J118" s="24">
        <f t="shared" ref="J118:O118" si="53">J119+J121</f>
        <v>6519</v>
      </c>
      <c r="K118" s="23">
        <f t="shared" si="53"/>
        <v>0</v>
      </c>
      <c r="L118" s="23">
        <f t="shared" si="53"/>
        <v>0</v>
      </c>
      <c r="M118" s="23">
        <f t="shared" si="53"/>
        <v>0</v>
      </c>
      <c r="N118" s="23">
        <f t="shared" si="53"/>
        <v>0</v>
      </c>
      <c r="O118" s="23">
        <f t="shared" si="53"/>
        <v>0</v>
      </c>
      <c r="P118" s="25"/>
    </row>
    <row r="119" spans="1:16" s="92" customFormat="1" ht="15.75" hidden="1" customHeight="1">
      <c r="A119" s="87"/>
      <c r="B119" s="88" t="s">
        <v>65</v>
      </c>
      <c r="C119" s="89" t="s">
        <v>119</v>
      </c>
      <c r="D119" s="90">
        <f t="shared" ref="D119:O119" si="54">D120</f>
        <v>0</v>
      </c>
      <c r="E119" s="90">
        <f t="shared" si="54"/>
        <v>0</v>
      </c>
      <c r="F119" s="90">
        <f t="shared" si="54"/>
        <v>0</v>
      </c>
      <c r="G119" s="90">
        <f t="shared" si="54"/>
        <v>0</v>
      </c>
      <c r="H119" s="90">
        <f t="shared" si="54"/>
        <v>0</v>
      </c>
      <c r="I119" s="90">
        <f t="shared" si="54"/>
        <v>0</v>
      </c>
      <c r="J119" s="39">
        <f t="shared" si="54"/>
        <v>0</v>
      </c>
      <c r="K119" s="90">
        <f t="shared" si="54"/>
        <v>0</v>
      </c>
      <c r="L119" s="90">
        <f t="shared" si="54"/>
        <v>0</v>
      </c>
      <c r="M119" s="90">
        <f t="shared" si="54"/>
        <v>0</v>
      </c>
      <c r="N119" s="90">
        <f t="shared" si="54"/>
        <v>0</v>
      </c>
      <c r="O119" s="90">
        <f t="shared" si="54"/>
        <v>0</v>
      </c>
      <c r="P119" s="91"/>
    </row>
    <row r="120" spans="1:16" ht="27.75" hidden="1" customHeight="1">
      <c r="A120" s="35"/>
      <c r="B120" s="36"/>
      <c r="C120" s="43" t="s">
        <v>66</v>
      </c>
      <c r="D120" s="39">
        <f>729725+128775+348500+61500-1268500</f>
        <v>0</v>
      </c>
      <c r="E120" s="38">
        <f>SUM(F120:I120)</f>
        <v>0</v>
      </c>
      <c r="F120" s="38">
        <v>0</v>
      </c>
      <c r="G120" s="38">
        <v>0</v>
      </c>
      <c r="H120" s="38">
        <v>0</v>
      </c>
      <c r="I120" s="38">
        <v>0</v>
      </c>
      <c r="J120" s="39">
        <f>729725+128775+348500+61500-1268500</f>
        <v>0</v>
      </c>
      <c r="K120" s="38">
        <f>SUM(L120:O120)</f>
        <v>0</v>
      </c>
      <c r="L120" s="38">
        <v>0</v>
      </c>
      <c r="M120" s="38">
        <v>0</v>
      </c>
      <c r="N120" s="38">
        <v>0</v>
      </c>
      <c r="O120" s="38">
        <v>0</v>
      </c>
      <c r="P120" s="45" t="s">
        <v>18</v>
      </c>
    </row>
    <row r="121" spans="1:16" s="34" customFormat="1" ht="15.75" customHeight="1">
      <c r="A121" s="46"/>
      <c r="B121" s="47" t="s">
        <v>67</v>
      </c>
      <c r="C121" s="48" t="s">
        <v>120</v>
      </c>
      <c r="D121" s="49">
        <f t="shared" ref="D121:I121" si="55">SUM(D122:D123)</f>
        <v>2755267</v>
      </c>
      <c r="E121" s="49">
        <f t="shared" si="55"/>
        <v>0</v>
      </c>
      <c r="F121" s="49">
        <f t="shared" si="55"/>
        <v>0</v>
      </c>
      <c r="G121" s="49">
        <f t="shared" si="55"/>
        <v>0</v>
      </c>
      <c r="H121" s="49">
        <f t="shared" si="55"/>
        <v>0</v>
      </c>
      <c r="I121" s="49">
        <f t="shared" si="55"/>
        <v>0</v>
      </c>
      <c r="J121" s="50">
        <f t="shared" ref="J121:O121" si="56">SUM(J122:J123)</f>
        <v>6519</v>
      </c>
      <c r="K121" s="49">
        <f t="shared" si="56"/>
        <v>0</v>
      </c>
      <c r="L121" s="49">
        <f t="shared" si="56"/>
        <v>0</v>
      </c>
      <c r="M121" s="49">
        <f t="shared" si="56"/>
        <v>0</v>
      </c>
      <c r="N121" s="49">
        <f t="shared" si="56"/>
        <v>0</v>
      </c>
      <c r="O121" s="49">
        <f t="shared" si="56"/>
        <v>0</v>
      </c>
      <c r="P121" s="32"/>
    </row>
    <row r="122" spans="1:16" ht="16.5" customHeight="1">
      <c r="A122" s="35"/>
      <c r="B122" s="36"/>
      <c r="C122" s="41" t="s">
        <v>68</v>
      </c>
      <c r="D122" s="38">
        <f>2336434+137438+274875</f>
        <v>2748747</v>
      </c>
      <c r="E122" s="38">
        <f>SUM(F122:I122)</f>
        <v>0</v>
      </c>
      <c r="F122" s="38">
        <v>0</v>
      </c>
      <c r="G122" s="38">
        <v>0</v>
      </c>
      <c r="H122" s="38">
        <v>0</v>
      </c>
      <c r="I122" s="38">
        <v>0</v>
      </c>
      <c r="J122" s="39">
        <v>0</v>
      </c>
      <c r="K122" s="38">
        <f>SUM(L122:O122)</f>
        <v>0</v>
      </c>
      <c r="L122" s="38">
        <v>0</v>
      </c>
      <c r="M122" s="38">
        <v>0</v>
      </c>
      <c r="N122" s="38">
        <v>0</v>
      </c>
      <c r="O122" s="38">
        <v>0</v>
      </c>
      <c r="P122" s="40" t="s">
        <v>18</v>
      </c>
    </row>
    <row r="123" spans="1:16" ht="14.25" customHeight="1">
      <c r="A123" s="58"/>
      <c r="B123" s="58"/>
      <c r="C123" s="43" t="s">
        <v>69</v>
      </c>
      <c r="D123" s="39">
        <f>12750+2250-4705-831-7209-1272+5537</f>
        <v>6520</v>
      </c>
      <c r="E123" s="38">
        <f t="shared" si="3"/>
        <v>0</v>
      </c>
      <c r="F123" s="38">
        <v>0</v>
      </c>
      <c r="G123" s="38">
        <v>0</v>
      </c>
      <c r="H123" s="38">
        <v>0</v>
      </c>
      <c r="I123" s="38">
        <v>0</v>
      </c>
      <c r="J123" s="39">
        <v>6519</v>
      </c>
      <c r="K123" s="38">
        <f t="shared" ref="K123" si="57">SUM(L123:O123)</f>
        <v>0</v>
      </c>
      <c r="L123" s="38">
        <v>0</v>
      </c>
      <c r="M123" s="38">
        <v>0</v>
      </c>
      <c r="N123" s="38">
        <v>0</v>
      </c>
      <c r="O123" s="38">
        <v>0</v>
      </c>
      <c r="P123" s="44"/>
    </row>
    <row r="124" spans="1:16" s="26" customFormat="1" ht="14.25" customHeight="1">
      <c r="A124" s="21" t="s">
        <v>70</v>
      </c>
      <c r="B124" s="21"/>
      <c r="C124" s="86" t="s">
        <v>121</v>
      </c>
      <c r="D124" s="23">
        <f t="shared" ref="D124:O124" si="58">D125</f>
        <v>10000000</v>
      </c>
      <c r="E124" s="23">
        <f t="shared" si="58"/>
        <v>244200</v>
      </c>
      <c r="F124" s="23">
        <f t="shared" si="58"/>
        <v>244200</v>
      </c>
      <c r="G124" s="23">
        <f t="shared" si="58"/>
        <v>0</v>
      </c>
      <c r="H124" s="23">
        <f t="shared" si="58"/>
        <v>0</v>
      </c>
      <c r="I124" s="23">
        <f t="shared" si="58"/>
        <v>0</v>
      </c>
      <c r="J124" s="24">
        <f t="shared" si="58"/>
        <v>10000000</v>
      </c>
      <c r="K124" s="23">
        <f t="shared" si="58"/>
        <v>69847</v>
      </c>
      <c r="L124" s="23">
        <f t="shared" si="58"/>
        <v>69847</v>
      </c>
      <c r="M124" s="23">
        <f t="shared" si="58"/>
        <v>0</v>
      </c>
      <c r="N124" s="23">
        <f t="shared" si="58"/>
        <v>0</v>
      </c>
      <c r="O124" s="23">
        <f t="shared" si="58"/>
        <v>0</v>
      </c>
      <c r="P124" s="25"/>
    </row>
    <row r="125" spans="1:16" s="34" customFormat="1" ht="15.75" customHeight="1">
      <c r="A125" s="27"/>
      <c r="B125" s="47" t="s">
        <v>71</v>
      </c>
      <c r="C125" s="48" t="s">
        <v>122</v>
      </c>
      <c r="D125" s="49">
        <f t="shared" ref="D125:I125" si="59">SUM(D126:D127)</f>
        <v>10000000</v>
      </c>
      <c r="E125" s="49">
        <f t="shared" si="59"/>
        <v>244200</v>
      </c>
      <c r="F125" s="49">
        <f t="shared" si="59"/>
        <v>244200</v>
      </c>
      <c r="G125" s="49">
        <f t="shared" si="59"/>
        <v>0</v>
      </c>
      <c r="H125" s="49">
        <f t="shared" si="59"/>
        <v>0</v>
      </c>
      <c r="I125" s="49">
        <f t="shared" si="59"/>
        <v>0</v>
      </c>
      <c r="J125" s="50">
        <f t="shared" ref="J125:O125" si="60">SUM(J126:J127)</f>
        <v>10000000</v>
      </c>
      <c r="K125" s="49">
        <f t="shared" si="60"/>
        <v>69847</v>
      </c>
      <c r="L125" s="49">
        <f t="shared" si="60"/>
        <v>69847</v>
      </c>
      <c r="M125" s="49">
        <f t="shared" si="60"/>
        <v>0</v>
      </c>
      <c r="N125" s="49">
        <f t="shared" si="60"/>
        <v>0</v>
      </c>
      <c r="O125" s="49">
        <f t="shared" si="60"/>
        <v>0</v>
      </c>
      <c r="P125" s="32"/>
    </row>
    <row r="126" spans="1:16" ht="28.5" customHeight="1">
      <c r="A126" s="35"/>
      <c r="B126" s="36"/>
      <c r="C126" s="43" t="s">
        <v>170</v>
      </c>
      <c r="D126" s="39">
        <v>10000000</v>
      </c>
      <c r="E126" s="39">
        <f>SUM(F126:I126)</f>
        <v>0</v>
      </c>
      <c r="F126" s="39">
        <f>10000000-10000000</f>
        <v>0</v>
      </c>
      <c r="G126" s="38">
        <v>0</v>
      </c>
      <c r="H126" s="38">
        <v>0</v>
      </c>
      <c r="I126" s="38">
        <v>0</v>
      </c>
      <c r="J126" s="39">
        <v>10000000</v>
      </c>
      <c r="K126" s="39">
        <f>SUM(L126:O126)</f>
        <v>0</v>
      </c>
      <c r="L126" s="39">
        <v>0</v>
      </c>
      <c r="M126" s="38">
        <v>0</v>
      </c>
      <c r="N126" s="38">
        <v>0</v>
      </c>
      <c r="O126" s="38">
        <v>0</v>
      </c>
      <c r="P126" s="40" t="s">
        <v>18</v>
      </c>
    </row>
    <row r="127" spans="1:16" ht="27" customHeight="1">
      <c r="A127" s="54"/>
      <c r="B127" s="54"/>
      <c r="C127" s="53" t="s">
        <v>72</v>
      </c>
      <c r="D127" s="56">
        <v>0</v>
      </c>
      <c r="E127" s="56">
        <f t="shared" si="3"/>
        <v>244200</v>
      </c>
      <c r="F127" s="57">
        <f>1044200-800000</f>
        <v>244200</v>
      </c>
      <c r="G127" s="56">
        <v>0</v>
      </c>
      <c r="H127" s="56">
        <v>0</v>
      </c>
      <c r="I127" s="56">
        <v>0</v>
      </c>
      <c r="J127" s="57">
        <v>0</v>
      </c>
      <c r="K127" s="56">
        <f t="shared" ref="K127" si="61">SUM(L127:O127)</f>
        <v>69847</v>
      </c>
      <c r="L127" s="57">
        <v>69847</v>
      </c>
      <c r="M127" s="56">
        <v>0</v>
      </c>
      <c r="N127" s="56">
        <v>0</v>
      </c>
      <c r="O127" s="56">
        <v>0</v>
      </c>
      <c r="P127" s="44"/>
    </row>
    <row r="128" spans="1:16" s="26" customFormat="1" ht="14.25" customHeight="1">
      <c r="A128" s="21" t="s">
        <v>210</v>
      </c>
      <c r="B128" s="21"/>
      <c r="C128" s="86" t="s">
        <v>211</v>
      </c>
      <c r="D128" s="23">
        <f t="shared" ref="D128:K128" si="62">D129</f>
        <v>0</v>
      </c>
      <c r="E128" s="23">
        <f t="shared" si="62"/>
        <v>12600</v>
      </c>
      <c r="F128" s="23">
        <f t="shared" si="62"/>
        <v>12600</v>
      </c>
      <c r="G128" s="23">
        <f t="shared" si="62"/>
        <v>0</v>
      </c>
      <c r="H128" s="23">
        <f t="shared" si="62"/>
        <v>0</v>
      </c>
      <c r="I128" s="23">
        <f t="shared" si="62"/>
        <v>0</v>
      </c>
      <c r="J128" s="24">
        <f t="shared" si="62"/>
        <v>0</v>
      </c>
      <c r="K128" s="23">
        <f t="shared" si="62"/>
        <v>12546</v>
      </c>
      <c r="L128" s="23"/>
      <c r="M128" s="23"/>
      <c r="N128" s="23"/>
      <c r="O128" s="23"/>
      <c r="P128" s="25"/>
    </row>
    <row r="129" spans="1:16" s="34" customFormat="1" ht="15.75" customHeight="1">
      <c r="A129" s="27"/>
      <c r="B129" s="47" t="s">
        <v>212</v>
      </c>
      <c r="C129" s="48" t="s">
        <v>213</v>
      </c>
      <c r="D129" s="49">
        <f>SUM(D130)</f>
        <v>0</v>
      </c>
      <c r="E129" s="49">
        <f>SUM(F129:I129)</f>
        <v>12600</v>
      </c>
      <c r="F129" s="49">
        <f>F130</f>
        <v>12600</v>
      </c>
      <c r="G129" s="49">
        <f t="shared" ref="G129:I129" si="63">SUM(G130:G131)</f>
        <v>0</v>
      </c>
      <c r="H129" s="49">
        <f t="shared" si="63"/>
        <v>0</v>
      </c>
      <c r="I129" s="49">
        <f t="shared" si="63"/>
        <v>0</v>
      </c>
      <c r="J129" s="49">
        <f>SUM(J130)</f>
        <v>0</v>
      </c>
      <c r="K129" s="49">
        <f>SUM(L129:O129)</f>
        <v>12546</v>
      </c>
      <c r="L129" s="49">
        <f>L130</f>
        <v>12546</v>
      </c>
      <c r="M129" s="49">
        <f t="shared" ref="M129:O129" si="64">SUM(M130:M131)</f>
        <v>0</v>
      </c>
      <c r="N129" s="49">
        <f t="shared" si="64"/>
        <v>0</v>
      </c>
      <c r="O129" s="49">
        <f t="shared" si="64"/>
        <v>0</v>
      </c>
      <c r="P129" s="32"/>
    </row>
    <row r="130" spans="1:16" ht="25.5">
      <c r="A130" s="35"/>
      <c r="B130" s="36"/>
      <c r="C130" s="43" t="s">
        <v>215</v>
      </c>
      <c r="D130" s="38">
        <v>0</v>
      </c>
      <c r="E130" s="38">
        <f>SUM(F130:I130)</f>
        <v>12600</v>
      </c>
      <c r="F130" s="38">
        <v>12600</v>
      </c>
      <c r="G130" s="38">
        <v>0</v>
      </c>
      <c r="H130" s="38">
        <v>0</v>
      </c>
      <c r="I130" s="38">
        <v>0</v>
      </c>
      <c r="J130" s="39">
        <v>0</v>
      </c>
      <c r="K130" s="38">
        <f>SUM(L130:O130)</f>
        <v>12546</v>
      </c>
      <c r="L130" s="38">
        <v>12546</v>
      </c>
      <c r="M130" s="38">
        <v>0</v>
      </c>
      <c r="N130" s="38">
        <v>0</v>
      </c>
      <c r="O130" s="38">
        <v>0</v>
      </c>
      <c r="P130" s="70" t="s">
        <v>214</v>
      </c>
    </row>
    <row r="131" spans="1:16" s="26" customFormat="1" ht="14.25" customHeight="1">
      <c r="A131" s="21" t="s">
        <v>73</v>
      </c>
      <c r="B131" s="21"/>
      <c r="C131" s="86" t="s">
        <v>123</v>
      </c>
      <c r="D131" s="23">
        <f t="shared" ref="D131:O131" si="65">D132+D134+D147</f>
        <v>236505</v>
      </c>
      <c r="E131" s="23">
        <f t="shared" si="65"/>
        <v>2542799</v>
      </c>
      <c r="F131" s="23">
        <f t="shared" si="65"/>
        <v>2542799</v>
      </c>
      <c r="G131" s="23">
        <f t="shared" si="65"/>
        <v>0</v>
      </c>
      <c r="H131" s="23">
        <f t="shared" si="65"/>
        <v>0</v>
      </c>
      <c r="I131" s="23">
        <f t="shared" si="65"/>
        <v>0</v>
      </c>
      <c r="J131" s="24">
        <f t="shared" si="65"/>
        <v>113580</v>
      </c>
      <c r="K131" s="23">
        <f t="shared" si="65"/>
        <v>2537014</v>
      </c>
      <c r="L131" s="23">
        <f t="shared" si="65"/>
        <v>2537014</v>
      </c>
      <c r="M131" s="23">
        <f t="shared" si="65"/>
        <v>0</v>
      </c>
      <c r="N131" s="23">
        <f t="shared" si="65"/>
        <v>0</v>
      </c>
      <c r="O131" s="23">
        <f t="shared" si="65"/>
        <v>0</v>
      </c>
      <c r="P131" s="25"/>
    </row>
    <row r="132" spans="1:16" s="34" customFormat="1" ht="15.75" customHeight="1">
      <c r="A132" s="27"/>
      <c r="B132" s="47" t="s">
        <v>75</v>
      </c>
      <c r="C132" s="48" t="s">
        <v>124</v>
      </c>
      <c r="D132" s="49">
        <f t="shared" ref="D132:O132" si="66">SUM(D133)</f>
        <v>0</v>
      </c>
      <c r="E132" s="49">
        <f t="shared" si="66"/>
        <v>55000</v>
      </c>
      <c r="F132" s="49">
        <f t="shared" si="66"/>
        <v>55000</v>
      </c>
      <c r="G132" s="49">
        <f t="shared" si="66"/>
        <v>0</v>
      </c>
      <c r="H132" s="49">
        <f t="shared" si="66"/>
        <v>0</v>
      </c>
      <c r="I132" s="49">
        <f t="shared" si="66"/>
        <v>0</v>
      </c>
      <c r="J132" s="50">
        <f t="shared" si="66"/>
        <v>0</v>
      </c>
      <c r="K132" s="49">
        <f t="shared" si="66"/>
        <v>50050</v>
      </c>
      <c r="L132" s="49">
        <f t="shared" si="66"/>
        <v>50050</v>
      </c>
      <c r="M132" s="49">
        <f t="shared" si="66"/>
        <v>0</v>
      </c>
      <c r="N132" s="49">
        <f t="shared" si="66"/>
        <v>0</v>
      </c>
      <c r="O132" s="49">
        <f t="shared" si="66"/>
        <v>0</v>
      </c>
      <c r="P132" s="32"/>
    </row>
    <row r="133" spans="1:16" ht="15" customHeight="1">
      <c r="A133" s="35"/>
      <c r="B133" s="69"/>
      <c r="C133" s="43" t="s">
        <v>17</v>
      </c>
      <c r="D133" s="38">
        <v>0</v>
      </c>
      <c r="E133" s="38">
        <f>SUM(F133:I133)</f>
        <v>55000</v>
      </c>
      <c r="F133" s="38">
        <f>25000+30000</f>
        <v>55000</v>
      </c>
      <c r="G133" s="38">
        <v>0</v>
      </c>
      <c r="H133" s="38">
        <v>0</v>
      </c>
      <c r="I133" s="38">
        <v>0</v>
      </c>
      <c r="J133" s="39">
        <v>0</v>
      </c>
      <c r="K133" s="38">
        <f>SUM(L133:O133)</f>
        <v>50050</v>
      </c>
      <c r="L133" s="38">
        <v>50050</v>
      </c>
      <c r="M133" s="38">
        <v>0</v>
      </c>
      <c r="N133" s="38">
        <v>0</v>
      </c>
      <c r="O133" s="38">
        <v>0</v>
      </c>
      <c r="P133" s="45" t="s">
        <v>18</v>
      </c>
    </row>
    <row r="134" spans="1:16" s="34" customFormat="1" ht="15.75" customHeight="1">
      <c r="A134" s="46"/>
      <c r="B134" s="60" t="s">
        <v>74</v>
      </c>
      <c r="C134" s="61" t="s">
        <v>125</v>
      </c>
      <c r="D134" s="62">
        <f t="shared" ref="D134:I134" si="67">SUM(D135:D146)</f>
        <v>50300</v>
      </c>
      <c r="E134" s="62">
        <f t="shared" si="67"/>
        <v>2487799</v>
      </c>
      <c r="F134" s="62">
        <f t="shared" si="67"/>
        <v>2487799</v>
      </c>
      <c r="G134" s="62">
        <f t="shared" si="67"/>
        <v>0</v>
      </c>
      <c r="H134" s="62">
        <f t="shared" si="67"/>
        <v>0</v>
      </c>
      <c r="I134" s="62">
        <f t="shared" si="67"/>
        <v>0</v>
      </c>
      <c r="J134" s="63">
        <f t="shared" ref="J134:O134" si="68">SUM(J135:J146)</f>
        <v>0</v>
      </c>
      <c r="K134" s="62">
        <f>SUM(K135:K146)</f>
        <v>2486964</v>
      </c>
      <c r="L134" s="62">
        <f t="shared" si="68"/>
        <v>2486964</v>
      </c>
      <c r="M134" s="62">
        <f t="shared" si="68"/>
        <v>0</v>
      </c>
      <c r="N134" s="62">
        <f t="shared" si="68"/>
        <v>0</v>
      </c>
      <c r="O134" s="62">
        <f t="shared" si="68"/>
        <v>0</v>
      </c>
      <c r="P134" s="72"/>
    </row>
    <row r="135" spans="1:16" ht="38.25">
      <c r="A135" s="35"/>
      <c r="B135" s="36"/>
      <c r="C135" s="43" t="s">
        <v>238</v>
      </c>
      <c r="D135" s="38">
        <v>0</v>
      </c>
      <c r="E135" s="38">
        <f>SUM(F135:I135)</f>
        <v>517500</v>
      </c>
      <c r="F135" s="38">
        <f>400000+117500</f>
        <v>517500</v>
      </c>
      <c r="G135" s="38">
        <v>0</v>
      </c>
      <c r="H135" s="38">
        <v>0</v>
      </c>
      <c r="I135" s="38">
        <v>0</v>
      </c>
      <c r="J135" s="39">
        <v>0</v>
      </c>
      <c r="K135" s="38">
        <f>SUM(L135:O135)</f>
        <v>517499</v>
      </c>
      <c r="L135" s="38">
        <f>483042+34457</f>
        <v>517499</v>
      </c>
      <c r="M135" s="38">
        <v>0</v>
      </c>
      <c r="N135" s="38">
        <v>0</v>
      </c>
      <c r="O135" s="38">
        <v>0</v>
      </c>
      <c r="P135" s="40" t="s">
        <v>18</v>
      </c>
    </row>
    <row r="136" spans="1:16" ht="22.5" customHeight="1">
      <c r="A136" s="35"/>
      <c r="B136" s="36"/>
      <c r="C136" s="71" t="s">
        <v>59</v>
      </c>
      <c r="D136" s="57">
        <v>0</v>
      </c>
      <c r="E136" s="39">
        <f>SUM(F136:I136)</f>
        <v>262500</v>
      </c>
      <c r="F136" s="57">
        <f>26700+235800</f>
        <v>262500</v>
      </c>
      <c r="G136" s="57">
        <v>0</v>
      </c>
      <c r="H136" s="57">
        <v>0</v>
      </c>
      <c r="I136" s="57">
        <v>0</v>
      </c>
      <c r="J136" s="57">
        <v>0</v>
      </c>
      <c r="K136" s="39">
        <f>SUM(L136:O136)</f>
        <v>261666</v>
      </c>
      <c r="L136" s="57">
        <v>261666</v>
      </c>
      <c r="M136" s="57">
        <v>0</v>
      </c>
      <c r="N136" s="57">
        <v>0</v>
      </c>
      <c r="O136" s="57">
        <v>0</v>
      </c>
      <c r="P136" s="42"/>
    </row>
    <row r="137" spans="1:16" ht="17.25" hidden="1" customHeight="1">
      <c r="A137" s="54"/>
      <c r="B137" s="54"/>
      <c r="C137" s="53" t="s">
        <v>76</v>
      </c>
      <c r="D137" s="56">
        <v>0</v>
      </c>
      <c r="E137" s="56">
        <f>SUM(F137:I137)</f>
        <v>0</v>
      </c>
      <c r="F137" s="56">
        <f>20000-20000</f>
        <v>0</v>
      </c>
      <c r="G137" s="56">
        <v>0</v>
      </c>
      <c r="H137" s="56">
        <v>0</v>
      </c>
      <c r="I137" s="56">
        <v>0</v>
      </c>
      <c r="J137" s="57"/>
      <c r="K137" s="56">
        <f>SUM(L137:O137)</f>
        <v>0</v>
      </c>
      <c r="L137" s="56"/>
      <c r="M137" s="56"/>
      <c r="N137" s="56"/>
      <c r="O137" s="56"/>
      <c r="P137" s="42"/>
    </row>
    <row r="138" spans="1:16" ht="16.5" hidden="1" customHeight="1">
      <c r="A138" s="54"/>
      <c r="B138" s="54"/>
      <c r="C138" s="43" t="s">
        <v>162</v>
      </c>
      <c r="D138" s="38">
        <v>0</v>
      </c>
      <c r="E138" s="38">
        <f t="shared" si="3"/>
        <v>0</v>
      </c>
      <c r="F138" s="38">
        <f>30000-30000</f>
        <v>0</v>
      </c>
      <c r="G138" s="38">
        <v>0</v>
      </c>
      <c r="H138" s="38">
        <v>0</v>
      </c>
      <c r="I138" s="38">
        <v>0</v>
      </c>
      <c r="J138" s="39"/>
      <c r="K138" s="38">
        <f t="shared" ref="K138:K146" si="69">SUM(L138:O138)</f>
        <v>0</v>
      </c>
      <c r="L138" s="38"/>
      <c r="M138" s="38"/>
      <c r="N138" s="38"/>
      <c r="O138" s="38"/>
      <c r="P138" s="42"/>
    </row>
    <row r="139" spans="1:16" ht="17.25" hidden="1" customHeight="1">
      <c r="A139" s="54"/>
      <c r="B139" s="54"/>
      <c r="C139" s="43" t="s">
        <v>77</v>
      </c>
      <c r="D139" s="38">
        <v>0</v>
      </c>
      <c r="E139" s="38">
        <f t="shared" si="3"/>
        <v>0</v>
      </c>
      <c r="F139" s="38">
        <f>90000-90000</f>
        <v>0</v>
      </c>
      <c r="G139" s="38">
        <v>0</v>
      </c>
      <c r="H139" s="38">
        <v>0</v>
      </c>
      <c r="I139" s="38">
        <v>0</v>
      </c>
      <c r="J139" s="39"/>
      <c r="K139" s="38">
        <f t="shared" si="69"/>
        <v>0</v>
      </c>
      <c r="L139" s="38"/>
      <c r="M139" s="38"/>
      <c r="N139" s="38"/>
      <c r="O139" s="38"/>
      <c r="P139" s="42"/>
    </row>
    <row r="140" spans="1:16" ht="16.5" hidden="1" customHeight="1">
      <c r="A140" s="54"/>
      <c r="B140" s="54"/>
      <c r="C140" s="43" t="s">
        <v>78</v>
      </c>
      <c r="D140" s="38">
        <v>0</v>
      </c>
      <c r="E140" s="38">
        <f t="shared" si="3"/>
        <v>0</v>
      </c>
      <c r="F140" s="38">
        <f>40000-40000</f>
        <v>0</v>
      </c>
      <c r="G140" s="38">
        <v>0</v>
      </c>
      <c r="H140" s="38">
        <v>0</v>
      </c>
      <c r="I140" s="38">
        <v>0</v>
      </c>
      <c r="J140" s="39"/>
      <c r="K140" s="38">
        <f t="shared" si="69"/>
        <v>0</v>
      </c>
      <c r="L140" s="38"/>
      <c r="M140" s="38"/>
      <c r="N140" s="38"/>
      <c r="O140" s="38"/>
      <c r="P140" s="42"/>
    </row>
    <row r="141" spans="1:16" ht="17.25" hidden="1" customHeight="1">
      <c r="A141" s="54"/>
      <c r="B141" s="54"/>
      <c r="C141" s="43" t="s">
        <v>79</v>
      </c>
      <c r="D141" s="38">
        <v>0</v>
      </c>
      <c r="E141" s="38">
        <f t="shared" si="3"/>
        <v>0</v>
      </c>
      <c r="F141" s="39">
        <f>70000-70000</f>
        <v>0</v>
      </c>
      <c r="G141" s="38">
        <v>0</v>
      </c>
      <c r="H141" s="38">
        <v>0</v>
      </c>
      <c r="I141" s="38">
        <v>0</v>
      </c>
      <c r="J141" s="39"/>
      <c r="K141" s="38">
        <f t="shared" si="69"/>
        <v>0</v>
      </c>
      <c r="L141" s="39"/>
      <c r="M141" s="38"/>
      <c r="N141" s="38"/>
      <c r="O141" s="38"/>
      <c r="P141" s="42"/>
    </row>
    <row r="142" spans="1:16" ht="16.5" customHeight="1">
      <c r="A142" s="54"/>
      <c r="B142" s="54"/>
      <c r="C142" s="43" t="s">
        <v>81</v>
      </c>
      <c r="D142" s="39">
        <f>62800+7500-5500-14500</f>
        <v>50300</v>
      </c>
      <c r="E142" s="39">
        <f t="shared" si="3"/>
        <v>0</v>
      </c>
      <c r="F142" s="39">
        <v>0</v>
      </c>
      <c r="G142" s="38">
        <v>0</v>
      </c>
      <c r="H142" s="38">
        <v>0</v>
      </c>
      <c r="I142" s="38">
        <v>0</v>
      </c>
      <c r="J142" s="39">
        <v>0</v>
      </c>
      <c r="K142" s="39">
        <f t="shared" si="69"/>
        <v>0</v>
      </c>
      <c r="L142" s="39">
        <v>0</v>
      </c>
      <c r="M142" s="38">
        <v>0</v>
      </c>
      <c r="N142" s="38">
        <v>0</v>
      </c>
      <c r="O142" s="38">
        <v>0</v>
      </c>
      <c r="P142" s="42"/>
    </row>
    <row r="143" spans="1:16" ht="26.25" customHeight="1">
      <c r="A143" s="54"/>
      <c r="B143" s="54"/>
      <c r="C143" s="43" t="s">
        <v>143</v>
      </c>
      <c r="D143" s="39">
        <v>0</v>
      </c>
      <c r="E143" s="39">
        <f t="shared" si="3"/>
        <v>635644</v>
      </c>
      <c r="F143" s="39">
        <f>765494-50000-79850</f>
        <v>635644</v>
      </c>
      <c r="G143" s="38">
        <v>0</v>
      </c>
      <c r="H143" s="38">
        <v>0</v>
      </c>
      <c r="I143" s="38">
        <v>0</v>
      </c>
      <c r="J143" s="39">
        <v>0</v>
      </c>
      <c r="K143" s="39">
        <f t="shared" si="69"/>
        <v>635644</v>
      </c>
      <c r="L143" s="39">
        <v>635644</v>
      </c>
      <c r="M143" s="38">
        <v>0</v>
      </c>
      <c r="N143" s="38">
        <v>0</v>
      </c>
      <c r="O143" s="38">
        <v>0</v>
      </c>
      <c r="P143" s="42"/>
    </row>
    <row r="144" spans="1:16" s="76" customFormat="1" ht="27.75" customHeight="1">
      <c r="A144" s="75"/>
      <c r="B144" s="75"/>
      <c r="C144" s="43" t="s">
        <v>163</v>
      </c>
      <c r="D144" s="39">
        <v>0</v>
      </c>
      <c r="E144" s="39">
        <f t="shared" si="3"/>
        <v>238965</v>
      </c>
      <c r="F144" s="39">
        <f>250000-11035</f>
        <v>238965</v>
      </c>
      <c r="G144" s="38">
        <v>0</v>
      </c>
      <c r="H144" s="38">
        <v>0</v>
      </c>
      <c r="I144" s="38">
        <v>0</v>
      </c>
      <c r="J144" s="39">
        <v>0</v>
      </c>
      <c r="K144" s="39">
        <f t="shared" si="69"/>
        <v>238965</v>
      </c>
      <c r="L144" s="39">
        <v>238965</v>
      </c>
      <c r="M144" s="38">
        <v>0</v>
      </c>
      <c r="N144" s="38">
        <v>0</v>
      </c>
      <c r="O144" s="38">
        <v>0</v>
      </c>
      <c r="P144" s="42"/>
    </row>
    <row r="145" spans="1:16" ht="41.25" customHeight="1">
      <c r="A145" s="54"/>
      <c r="B145" s="54"/>
      <c r="C145" s="53" t="s">
        <v>164</v>
      </c>
      <c r="D145" s="57">
        <v>0</v>
      </c>
      <c r="E145" s="57">
        <f t="shared" si="3"/>
        <v>583190</v>
      </c>
      <c r="F145" s="57">
        <f>600000-16810</f>
        <v>583190</v>
      </c>
      <c r="G145" s="56">
        <v>0</v>
      </c>
      <c r="H145" s="56">
        <v>0</v>
      </c>
      <c r="I145" s="56">
        <v>0</v>
      </c>
      <c r="J145" s="57">
        <v>0</v>
      </c>
      <c r="K145" s="57">
        <f t="shared" si="69"/>
        <v>583190</v>
      </c>
      <c r="L145" s="57">
        <v>583190</v>
      </c>
      <c r="M145" s="56">
        <v>0</v>
      </c>
      <c r="N145" s="56">
        <v>0</v>
      </c>
      <c r="O145" s="56">
        <v>0</v>
      </c>
      <c r="P145" s="42"/>
    </row>
    <row r="146" spans="1:16" ht="27" customHeight="1">
      <c r="A146" s="54"/>
      <c r="B146" s="58"/>
      <c r="C146" s="43" t="s">
        <v>145</v>
      </c>
      <c r="D146" s="38">
        <v>0</v>
      </c>
      <c r="E146" s="38">
        <f t="shared" si="3"/>
        <v>250000</v>
      </c>
      <c r="F146" s="38">
        <v>250000</v>
      </c>
      <c r="G146" s="38">
        <v>0</v>
      </c>
      <c r="H146" s="38">
        <v>0</v>
      </c>
      <c r="I146" s="38">
        <v>0</v>
      </c>
      <c r="J146" s="39">
        <v>0</v>
      </c>
      <c r="K146" s="38">
        <f t="shared" si="69"/>
        <v>250000</v>
      </c>
      <c r="L146" s="38">
        <v>250000</v>
      </c>
      <c r="M146" s="38">
        <v>0</v>
      </c>
      <c r="N146" s="38">
        <v>0</v>
      </c>
      <c r="O146" s="38">
        <v>0</v>
      </c>
      <c r="P146" s="44"/>
    </row>
    <row r="147" spans="1:16" s="34" customFormat="1" ht="15.75" customHeight="1">
      <c r="A147" s="46"/>
      <c r="B147" s="60" t="s">
        <v>80</v>
      </c>
      <c r="C147" s="61" t="s">
        <v>117</v>
      </c>
      <c r="D147" s="62">
        <f t="shared" ref="D147:I147" si="70">SUM(D148:D151)</f>
        <v>186205</v>
      </c>
      <c r="E147" s="62">
        <f t="shared" si="70"/>
        <v>0</v>
      </c>
      <c r="F147" s="62">
        <f t="shared" si="70"/>
        <v>0</v>
      </c>
      <c r="G147" s="62">
        <f t="shared" si="70"/>
        <v>0</v>
      </c>
      <c r="H147" s="62">
        <f t="shared" si="70"/>
        <v>0</v>
      </c>
      <c r="I147" s="62">
        <f t="shared" si="70"/>
        <v>0</v>
      </c>
      <c r="J147" s="63">
        <f t="shared" ref="J147:O147" si="71">SUM(J148:J151)</f>
        <v>113580</v>
      </c>
      <c r="K147" s="62">
        <f t="shared" si="71"/>
        <v>0</v>
      </c>
      <c r="L147" s="62">
        <f t="shared" si="71"/>
        <v>0</v>
      </c>
      <c r="M147" s="62">
        <f t="shared" si="71"/>
        <v>0</v>
      </c>
      <c r="N147" s="62">
        <f t="shared" si="71"/>
        <v>0</v>
      </c>
      <c r="O147" s="62">
        <f t="shared" si="71"/>
        <v>0</v>
      </c>
      <c r="P147" s="72"/>
    </row>
    <row r="148" spans="1:16" ht="28.5" customHeight="1">
      <c r="A148" s="54"/>
      <c r="B148" s="54"/>
      <c r="C148" s="43" t="s">
        <v>188</v>
      </c>
      <c r="D148" s="39">
        <f>60000+18000-30300-15500-5000</f>
        <v>27200</v>
      </c>
      <c r="E148" s="38">
        <f t="shared" si="3"/>
        <v>0</v>
      </c>
      <c r="F148" s="38">
        <v>0</v>
      </c>
      <c r="G148" s="38">
        <v>0</v>
      </c>
      <c r="H148" s="38">
        <v>0</v>
      </c>
      <c r="I148" s="38">
        <v>0</v>
      </c>
      <c r="J148" s="39">
        <v>20000</v>
      </c>
      <c r="K148" s="38">
        <f t="shared" ref="K148:K151" si="72">SUM(L148:O148)</f>
        <v>0</v>
      </c>
      <c r="L148" s="38">
        <v>0</v>
      </c>
      <c r="M148" s="38">
        <v>0</v>
      </c>
      <c r="N148" s="38">
        <v>0</v>
      </c>
      <c r="O148" s="38">
        <v>0</v>
      </c>
      <c r="P148" s="40" t="s">
        <v>18</v>
      </c>
    </row>
    <row r="149" spans="1:16" ht="42" customHeight="1">
      <c r="A149" s="54"/>
      <c r="B149" s="54"/>
      <c r="C149" s="53" t="s">
        <v>169</v>
      </c>
      <c r="D149" s="56">
        <f>3825+1175</f>
        <v>5000</v>
      </c>
      <c r="E149" s="56">
        <f t="shared" si="3"/>
        <v>0</v>
      </c>
      <c r="F149" s="56">
        <v>0</v>
      </c>
      <c r="G149" s="56">
        <v>0</v>
      </c>
      <c r="H149" s="56">
        <v>0</v>
      </c>
      <c r="I149" s="56">
        <v>0</v>
      </c>
      <c r="J149" s="57">
        <v>0</v>
      </c>
      <c r="K149" s="56">
        <f t="shared" si="72"/>
        <v>0</v>
      </c>
      <c r="L149" s="56">
        <v>0</v>
      </c>
      <c r="M149" s="56">
        <v>0</v>
      </c>
      <c r="N149" s="56">
        <v>0</v>
      </c>
      <c r="O149" s="56">
        <v>0</v>
      </c>
      <c r="P149" s="42"/>
    </row>
    <row r="150" spans="1:16" ht="17.25" customHeight="1">
      <c r="A150" s="54"/>
      <c r="B150" s="54"/>
      <c r="C150" s="43" t="s">
        <v>82</v>
      </c>
      <c r="D150" s="39">
        <f>66300+11700+34835+37170</f>
        <v>150005</v>
      </c>
      <c r="E150" s="38">
        <f t="shared" si="3"/>
        <v>0</v>
      </c>
      <c r="F150" s="38">
        <v>0</v>
      </c>
      <c r="G150" s="38">
        <v>0</v>
      </c>
      <c r="H150" s="38">
        <v>0</v>
      </c>
      <c r="I150" s="38">
        <v>0</v>
      </c>
      <c r="J150" s="39">
        <v>89785</v>
      </c>
      <c r="K150" s="38">
        <f t="shared" si="72"/>
        <v>0</v>
      </c>
      <c r="L150" s="38">
        <v>0</v>
      </c>
      <c r="M150" s="38">
        <v>0</v>
      </c>
      <c r="N150" s="38">
        <v>0</v>
      </c>
      <c r="O150" s="38">
        <v>0</v>
      </c>
      <c r="P150" s="42"/>
    </row>
    <row r="151" spans="1:16" ht="28.5" customHeight="1">
      <c r="A151" s="54"/>
      <c r="B151" s="54"/>
      <c r="C151" s="53" t="s">
        <v>189</v>
      </c>
      <c r="D151" s="57">
        <f>12750+2250-11000</f>
        <v>4000</v>
      </c>
      <c r="E151" s="56">
        <f t="shared" si="3"/>
        <v>0</v>
      </c>
      <c r="F151" s="56">
        <v>0</v>
      </c>
      <c r="G151" s="56">
        <v>0</v>
      </c>
      <c r="H151" s="56">
        <v>0</v>
      </c>
      <c r="I151" s="56">
        <v>0</v>
      </c>
      <c r="J151" s="57">
        <v>3795</v>
      </c>
      <c r="K151" s="56">
        <f t="shared" si="72"/>
        <v>0</v>
      </c>
      <c r="L151" s="56">
        <v>0</v>
      </c>
      <c r="M151" s="56">
        <v>0</v>
      </c>
      <c r="N151" s="56">
        <v>0</v>
      </c>
      <c r="O151" s="56">
        <v>0</v>
      </c>
      <c r="P151" s="44"/>
    </row>
    <row r="152" spans="1:16" s="26" customFormat="1" ht="14.25" customHeight="1">
      <c r="A152" s="21" t="s">
        <v>83</v>
      </c>
      <c r="B152" s="21"/>
      <c r="C152" s="86" t="s">
        <v>126</v>
      </c>
      <c r="D152" s="23">
        <f t="shared" ref="D152:I152" si="73">D153+D155</f>
        <v>1520602</v>
      </c>
      <c r="E152" s="23">
        <f t="shared" si="73"/>
        <v>0</v>
      </c>
      <c r="F152" s="23">
        <f t="shared" si="73"/>
        <v>0</v>
      </c>
      <c r="G152" s="23">
        <f t="shared" si="73"/>
        <v>0</v>
      </c>
      <c r="H152" s="23">
        <f t="shared" si="73"/>
        <v>0</v>
      </c>
      <c r="I152" s="23">
        <f t="shared" si="73"/>
        <v>0</v>
      </c>
      <c r="J152" s="24">
        <f t="shared" ref="J152:O152" si="74">J153+J155</f>
        <v>446178</v>
      </c>
      <c r="K152" s="23">
        <f t="shared" si="74"/>
        <v>0</v>
      </c>
      <c r="L152" s="23">
        <f t="shared" si="74"/>
        <v>0</v>
      </c>
      <c r="M152" s="23">
        <f t="shared" si="74"/>
        <v>0</v>
      </c>
      <c r="N152" s="23">
        <f t="shared" si="74"/>
        <v>0</v>
      </c>
      <c r="O152" s="23">
        <f t="shared" si="74"/>
        <v>0</v>
      </c>
      <c r="P152" s="25"/>
    </row>
    <row r="153" spans="1:16" s="34" customFormat="1" ht="15.75" customHeight="1">
      <c r="A153" s="27"/>
      <c r="B153" s="47" t="s">
        <v>84</v>
      </c>
      <c r="C153" s="48" t="s">
        <v>127</v>
      </c>
      <c r="D153" s="49">
        <f t="shared" ref="D153:O153" si="75">D154</f>
        <v>467958</v>
      </c>
      <c r="E153" s="49">
        <f t="shared" si="75"/>
        <v>0</v>
      </c>
      <c r="F153" s="49">
        <f t="shared" si="75"/>
        <v>0</v>
      </c>
      <c r="G153" s="49">
        <f t="shared" si="75"/>
        <v>0</v>
      </c>
      <c r="H153" s="49">
        <f t="shared" si="75"/>
        <v>0</v>
      </c>
      <c r="I153" s="49">
        <f t="shared" si="75"/>
        <v>0</v>
      </c>
      <c r="J153" s="50">
        <f t="shared" si="75"/>
        <v>438178</v>
      </c>
      <c r="K153" s="49">
        <f t="shared" si="75"/>
        <v>0</v>
      </c>
      <c r="L153" s="49">
        <f t="shared" si="75"/>
        <v>0</v>
      </c>
      <c r="M153" s="49">
        <f t="shared" si="75"/>
        <v>0</v>
      </c>
      <c r="N153" s="49">
        <f t="shared" si="75"/>
        <v>0</v>
      </c>
      <c r="O153" s="49">
        <f t="shared" si="75"/>
        <v>0</v>
      </c>
      <c r="P153" s="32"/>
    </row>
    <row r="154" spans="1:16" ht="39.75" customHeight="1">
      <c r="A154" s="35"/>
      <c r="B154" s="69"/>
      <c r="C154" s="43" t="s">
        <v>168</v>
      </c>
      <c r="D154" s="39">
        <f>358476+63260+36096+10126</f>
        <v>467958</v>
      </c>
      <c r="E154" s="38">
        <f>SUM(F154:I154)</f>
        <v>0</v>
      </c>
      <c r="F154" s="38">
        <v>0</v>
      </c>
      <c r="G154" s="38">
        <v>0</v>
      </c>
      <c r="H154" s="38">
        <v>0</v>
      </c>
      <c r="I154" s="38">
        <v>0</v>
      </c>
      <c r="J154" s="39">
        <f>371076+67102</f>
        <v>438178</v>
      </c>
      <c r="K154" s="38">
        <f>SUM(L154:O154)</f>
        <v>0</v>
      </c>
      <c r="L154" s="38"/>
      <c r="M154" s="38"/>
      <c r="N154" s="38"/>
      <c r="O154" s="38"/>
      <c r="P154" s="45" t="s">
        <v>201</v>
      </c>
    </row>
    <row r="155" spans="1:16" s="34" customFormat="1" ht="15.75" customHeight="1">
      <c r="A155" s="46"/>
      <c r="B155" s="60" t="s">
        <v>87</v>
      </c>
      <c r="C155" s="61" t="s">
        <v>128</v>
      </c>
      <c r="D155" s="62">
        <f t="shared" ref="D155:I155" si="76">SUM(D156:D157)</f>
        <v>1052644</v>
      </c>
      <c r="E155" s="62">
        <f t="shared" si="76"/>
        <v>0</v>
      </c>
      <c r="F155" s="62">
        <f t="shared" si="76"/>
        <v>0</v>
      </c>
      <c r="G155" s="62">
        <f t="shared" si="76"/>
        <v>0</v>
      </c>
      <c r="H155" s="62">
        <f t="shared" si="76"/>
        <v>0</v>
      </c>
      <c r="I155" s="62">
        <f t="shared" si="76"/>
        <v>0</v>
      </c>
      <c r="J155" s="63">
        <f t="shared" ref="J155:O155" si="77">SUM(J156:J157)</f>
        <v>8000</v>
      </c>
      <c r="K155" s="62">
        <f t="shared" si="77"/>
        <v>0</v>
      </c>
      <c r="L155" s="62">
        <f t="shared" si="77"/>
        <v>0</v>
      </c>
      <c r="M155" s="62">
        <f t="shared" si="77"/>
        <v>0</v>
      </c>
      <c r="N155" s="62">
        <f t="shared" si="77"/>
        <v>0</v>
      </c>
      <c r="O155" s="62">
        <f t="shared" si="77"/>
        <v>0</v>
      </c>
      <c r="P155" s="72"/>
    </row>
    <row r="156" spans="1:16" ht="39.75" customHeight="1">
      <c r="A156" s="54"/>
      <c r="B156" s="54"/>
      <c r="C156" s="43" t="s">
        <v>85</v>
      </c>
      <c r="D156" s="38">
        <f>940179+104465</f>
        <v>1044644</v>
      </c>
      <c r="E156" s="38">
        <f>SUM(F156:I156)</f>
        <v>0</v>
      </c>
      <c r="F156" s="38">
        <v>0</v>
      </c>
      <c r="G156" s="38">
        <v>0</v>
      </c>
      <c r="H156" s="38">
        <v>0</v>
      </c>
      <c r="I156" s="38">
        <v>0</v>
      </c>
      <c r="J156" s="39">
        <v>0</v>
      </c>
      <c r="K156" s="38">
        <f>SUM(L156:O156)</f>
        <v>0</v>
      </c>
      <c r="L156" s="38">
        <v>0</v>
      </c>
      <c r="M156" s="38">
        <v>0</v>
      </c>
      <c r="N156" s="38">
        <v>0</v>
      </c>
      <c r="O156" s="38">
        <v>0</v>
      </c>
      <c r="P156" s="45" t="s">
        <v>200</v>
      </c>
    </row>
    <row r="157" spans="1:16" ht="29.25" customHeight="1">
      <c r="A157" s="58"/>
      <c r="B157" s="58"/>
      <c r="C157" s="53" t="s">
        <v>86</v>
      </c>
      <c r="D157" s="57">
        <f>1810755+319545-1803955-318345</f>
        <v>8000</v>
      </c>
      <c r="E157" s="56">
        <f>SUM(F157:I157)</f>
        <v>0</v>
      </c>
      <c r="F157" s="56">
        <v>0</v>
      </c>
      <c r="G157" s="56">
        <v>0</v>
      </c>
      <c r="H157" s="56">
        <v>0</v>
      </c>
      <c r="I157" s="56">
        <v>0</v>
      </c>
      <c r="J157" s="57">
        <v>8000</v>
      </c>
      <c r="K157" s="56">
        <f>SUM(L157:O157)</f>
        <v>0</v>
      </c>
      <c r="L157" s="56">
        <v>0</v>
      </c>
      <c r="M157" s="56">
        <v>0</v>
      </c>
      <c r="N157" s="56">
        <v>0</v>
      </c>
      <c r="O157" s="56">
        <v>0</v>
      </c>
      <c r="P157" s="70" t="s">
        <v>199</v>
      </c>
    </row>
    <row r="158" spans="1:16" s="26" customFormat="1" ht="14.25" customHeight="1">
      <c r="A158" s="21" t="s">
        <v>88</v>
      </c>
      <c r="B158" s="21"/>
      <c r="C158" s="86" t="s">
        <v>129</v>
      </c>
      <c r="D158" s="24">
        <f>D159</f>
        <v>0</v>
      </c>
      <c r="E158" s="23">
        <f t="shared" ref="E158:O159" si="78">E159</f>
        <v>8000</v>
      </c>
      <c r="F158" s="23">
        <f t="shared" si="78"/>
        <v>8000</v>
      </c>
      <c r="G158" s="23">
        <f t="shared" si="78"/>
        <v>0</v>
      </c>
      <c r="H158" s="23">
        <f t="shared" si="78"/>
        <v>0</v>
      </c>
      <c r="I158" s="23">
        <f t="shared" si="78"/>
        <v>0</v>
      </c>
      <c r="J158" s="24">
        <f>J159</f>
        <v>0</v>
      </c>
      <c r="K158" s="23">
        <f t="shared" si="78"/>
        <v>0</v>
      </c>
      <c r="L158" s="23">
        <f t="shared" si="78"/>
        <v>0</v>
      </c>
      <c r="M158" s="23">
        <f t="shared" si="78"/>
        <v>0</v>
      </c>
      <c r="N158" s="23">
        <f t="shared" si="78"/>
        <v>0</v>
      </c>
      <c r="O158" s="23">
        <f t="shared" si="78"/>
        <v>0</v>
      </c>
      <c r="P158" s="25"/>
    </row>
    <row r="159" spans="1:16" s="34" customFormat="1" ht="15.75" customHeight="1">
      <c r="A159" s="27"/>
      <c r="B159" s="47" t="s">
        <v>89</v>
      </c>
      <c r="C159" s="48" t="s">
        <v>130</v>
      </c>
      <c r="D159" s="49">
        <f>D160</f>
        <v>0</v>
      </c>
      <c r="E159" s="49">
        <f t="shared" si="78"/>
        <v>8000</v>
      </c>
      <c r="F159" s="49">
        <f t="shared" si="78"/>
        <v>8000</v>
      </c>
      <c r="G159" s="49">
        <f t="shared" si="78"/>
        <v>0</v>
      </c>
      <c r="H159" s="49">
        <f t="shared" si="78"/>
        <v>0</v>
      </c>
      <c r="I159" s="49">
        <f t="shared" si="78"/>
        <v>0</v>
      </c>
      <c r="J159" s="50">
        <f>J160</f>
        <v>0</v>
      </c>
      <c r="K159" s="49">
        <f t="shared" si="78"/>
        <v>0</v>
      </c>
      <c r="L159" s="49">
        <f t="shared" si="78"/>
        <v>0</v>
      </c>
      <c r="M159" s="49">
        <f t="shared" si="78"/>
        <v>0</v>
      </c>
      <c r="N159" s="49">
        <f t="shared" si="78"/>
        <v>0</v>
      </c>
      <c r="O159" s="49">
        <f t="shared" si="78"/>
        <v>0</v>
      </c>
      <c r="P159" s="32"/>
    </row>
    <row r="160" spans="1:16" ht="27.75" customHeight="1">
      <c r="A160" s="68"/>
      <c r="B160" s="69"/>
      <c r="C160" s="43" t="s">
        <v>90</v>
      </c>
      <c r="D160" s="38">
        <v>0</v>
      </c>
      <c r="E160" s="38">
        <f>SUM(F160:I160)</f>
        <v>8000</v>
      </c>
      <c r="F160" s="38">
        <v>8000</v>
      </c>
      <c r="G160" s="38">
        <v>0</v>
      </c>
      <c r="H160" s="38">
        <v>0</v>
      </c>
      <c r="I160" s="38">
        <v>0</v>
      </c>
      <c r="J160" s="39">
        <v>0</v>
      </c>
      <c r="K160" s="38">
        <f>SUM(L160:O160)</f>
        <v>0</v>
      </c>
      <c r="L160" s="38">
        <v>0</v>
      </c>
      <c r="M160" s="38">
        <v>0</v>
      </c>
      <c r="N160" s="38">
        <v>0</v>
      </c>
      <c r="O160" s="38">
        <v>0</v>
      </c>
      <c r="P160" s="45" t="s">
        <v>18</v>
      </c>
    </row>
    <row r="161" spans="1:16" s="26" customFormat="1" ht="14.25" customHeight="1">
      <c r="A161" s="21" t="s">
        <v>91</v>
      </c>
      <c r="B161" s="21"/>
      <c r="C161" s="86" t="s">
        <v>131</v>
      </c>
      <c r="D161" s="23">
        <f>D162+D164</f>
        <v>0</v>
      </c>
      <c r="E161" s="23">
        <f t="shared" ref="E161:I161" si="79">E162+E164</f>
        <v>10385</v>
      </c>
      <c r="F161" s="23">
        <f t="shared" si="79"/>
        <v>0</v>
      </c>
      <c r="G161" s="23">
        <f t="shared" si="79"/>
        <v>10385</v>
      </c>
      <c r="H161" s="23">
        <f t="shared" si="79"/>
        <v>0</v>
      </c>
      <c r="I161" s="23">
        <f t="shared" si="79"/>
        <v>0</v>
      </c>
      <c r="J161" s="24">
        <f>J162+J164</f>
        <v>0</v>
      </c>
      <c r="K161" s="23">
        <f t="shared" ref="K161:O161" si="80">K162+K164</f>
        <v>10285</v>
      </c>
      <c r="L161" s="23">
        <f t="shared" si="80"/>
        <v>10285</v>
      </c>
      <c r="M161" s="23">
        <f t="shared" si="80"/>
        <v>0</v>
      </c>
      <c r="N161" s="23">
        <f t="shared" si="80"/>
        <v>0</v>
      </c>
      <c r="O161" s="23">
        <f t="shared" si="80"/>
        <v>0</v>
      </c>
      <c r="P161" s="25"/>
    </row>
    <row r="162" spans="1:16" s="34" customFormat="1" ht="41.25" customHeight="1">
      <c r="A162" s="27"/>
      <c r="B162" s="67" t="s">
        <v>92</v>
      </c>
      <c r="C162" s="84" t="s">
        <v>190</v>
      </c>
      <c r="D162" s="49">
        <f>D163</f>
        <v>0</v>
      </c>
      <c r="E162" s="49">
        <f t="shared" ref="E162:O162" si="81">E163</f>
        <v>0</v>
      </c>
      <c r="F162" s="49">
        <f t="shared" si="81"/>
        <v>0</v>
      </c>
      <c r="G162" s="49">
        <f t="shared" si="81"/>
        <v>0</v>
      </c>
      <c r="H162" s="49">
        <f t="shared" si="81"/>
        <v>0</v>
      </c>
      <c r="I162" s="49">
        <f t="shared" si="81"/>
        <v>0</v>
      </c>
      <c r="J162" s="50">
        <f>J163</f>
        <v>0</v>
      </c>
      <c r="K162" s="49">
        <f t="shared" si="81"/>
        <v>0</v>
      </c>
      <c r="L162" s="49">
        <f t="shared" si="81"/>
        <v>0</v>
      </c>
      <c r="M162" s="49">
        <f t="shared" si="81"/>
        <v>0</v>
      </c>
      <c r="N162" s="49">
        <f t="shared" si="81"/>
        <v>0</v>
      </c>
      <c r="O162" s="49">
        <f t="shared" si="81"/>
        <v>0</v>
      </c>
      <c r="P162" s="32"/>
    </row>
    <row r="163" spans="1:16" ht="28.5" customHeight="1">
      <c r="A163" s="35"/>
      <c r="B163" s="69"/>
      <c r="C163" s="43" t="s">
        <v>167</v>
      </c>
      <c r="D163" s="38">
        <v>0</v>
      </c>
      <c r="E163" s="38">
        <f>SUM(F163:I163)</f>
        <v>0</v>
      </c>
      <c r="F163" s="39">
        <f>21000-21000</f>
        <v>0</v>
      </c>
      <c r="G163" s="38">
        <v>0</v>
      </c>
      <c r="H163" s="38">
        <v>0</v>
      </c>
      <c r="I163" s="38">
        <v>0</v>
      </c>
      <c r="J163" s="39"/>
      <c r="K163" s="38">
        <f>SUM(L163:O163)</f>
        <v>0</v>
      </c>
      <c r="L163" s="39"/>
      <c r="M163" s="38"/>
      <c r="N163" s="38"/>
      <c r="O163" s="38"/>
      <c r="P163" s="45" t="s">
        <v>18</v>
      </c>
    </row>
    <row r="164" spans="1:16" s="33" customFormat="1" ht="18" customHeight="1">
      <c r="A164" s="93"/>
      <c r="B164" s="94" t="s">
        <v>228</v>
      </c>
      <c r="C164" s="95" t="s">
        <v>229</v>
      </c>
      <c r="D164" s="50">
        <f>SUM(D165)</f>
        <v>0</v>
      </c>
      <c r="E164" s="50">
        <f t="shared" ref="E164:O164" si="82">SUM(E165)</f>
        <v>10385</v>
      </c>
      <c r="F164" s="50">
        <f t="shared" si="82"/>
        <v>0</v>
      </c>
      <c r="G164" s="50">
        <f t="shared" si="82"/>
        <v>10385</v>
      </c>
      <c r="H164" s="50">
        <f t="shared" si="82"/>
        <v>0</v>
      </c>
      <c r="I164" s="50">
        <f t="shared" si="82"/>
        <v>0</v>
      </c>
      <c r="J164" s="50">
        <f>SUM(J165)</f>
        <v>0</v>
      </c>
      <c r="K164" s="50">
        <f t="shared" si="82"/>
        <v>10285</v>
      </c>
      <c r="L164" s="50">
        <f t="shared" si="82"/>
        <v>10285</v>
      </c>
      <c r="M164" s="50">
        <f t="shared" si="82"/>
        <v>0</v>
      </c>
      <c r="N164" s="50">
        <f t="shared" si="82"/>
        <v>0</v>
      </c>
      <c r="O164" s="50">
        <f t="shared" si="82"/>
        <v>0</v>
      </c>
      <c r="P164" s="96"/>
    </row>
    <row r="165" spans="1:16" ht="22.5" customHeight="1">
      <c r="A165" s="68"/>
      <c r="B165" s="69"/>
      <c r="C165" s="55" t="s">
        <v>59</v>
      </c>
      <c r="D165" s="39">
        <v>0</v>
      </c>
      <c r="E165" s="39">
        <f>SUM(F165:I165)</f>
        <v>10385</v>
      </c>
      <c r="F165" s="39">
        <v>0</v>
      </c>
      <c r="G165" s="39">
        <v>10385</v>
      </c>
      <c r="H165" s="39">
        <v>0</v>
      </c>
      <c r="I165" s="39">
        <v>0</v>
      </c>
      <c r="J165" s="39">
        <v>0</v>
      </c>
      <c r="K165" s="39">
        <f>SUM(L165:O165)</f>
        <v>10285</v>
      </c>
      <c r="L165" s="39">
        <v>10285</v>
      </c>
      <c r="M165" s="39">
        <v>0</v>
      </c>
      <c r="N165" s="39">
        <v>0</v>
      </c>
      <c r="O165" s="39">
        <v>0</v>
      </c>
      <c r="P165" s="45" t="s">
        <v>18</v>
      </c>
    </row>
    <row r="166" spans="1:16" s="26" customFormat="1" ht="14.25" customHeight="1">
      <c r="A166" s="21" t="s">
        <v>93</v>
      </c>
      <c r="B166" s="21"/>
      <c r="C166" s="86" t="s">
        <v>132</v>
      </c>
      <c r="D166" s="23">
        <f t="shared" ref="D166:I166" si="83">D167+D170</f>
        <v>87000</v>
      </c>
      <c r="E166" s="23">
        <f t="shared" si="83"/>
        <v>0</v>
      </c>
      <c r="F166" s="23">
        <f t="shared" si="83"/>
        <v>0</v>
      </c>
      <c r="G166" s="23">
        <f t="shared" si="83"/>
        <v>0</v>
      </c>
      <c r="H166" s="23">
        <f t="shared" si="83"/>
        <v>0</v>
      </c>
      <c r="I166" s="23">
        <f t="shared" si="83"/>
        <v>0</v>
      </c>
      <c r="J166" s="24">
        <f t="shared" ref="J166:O166" si="84">J167+J170</f>
        <v>67249</v>
      </c>
      <c r="K166" s="23">
        <f t="shared" si="84"/>
        <v>0</v>
      </c>
      <c r="L166" s="23">
        <f t="shared" si="84"/>
        <v>0</v>
      </c>
      <c r="M166" s="23">
        <f t="shared" si="84"/>
        <v>0</v>
      </c>
      <c r="N166" s="23">
        <f t="shared" si="84"/>
        <v>0</v>
      </c>
      <c r="O166" s="23">
        <f t="shared" si="84"/>
        <v>0</v>
      </c>
      <c r="P166" s="25"/>
    </row>
    <row r="167" spans="1:16" s="34" customFormat="1" ht="15.75" customHeight="1">
      <c r="A167" s="27"/>
      <c r="B167" s="47" t="s">
        <v>94</v>
      </c>
      <c r="C167" s="48" t="s">
        <v>133</v>
      </c>
      <c r="D167" s="49">
        <f t="shared" ref="D167:I167" si="85">SUM(D168:D169)</f>
        <v>87000</v>
      </c>
      <c r="E167" s="49">
        <f t="shared" si="85"/>
        <v>0</v>
      </c>
      <c r="F167" s="49">
        <f t="shared" si="85"/>
        <v>0</v>
      </c>
      <c r="G167" s="49">
        <f t="shared" si="85"/>
        <v>0</v>
      </c>
      <c r="H167" s="49">
        <f t="shared" si="85"/>
        <v>0</v>
      </c>
      <c r="I167" s="49">
        <f t="shared" si="85"/>
        <v>0</v>
      </c>
      <c r="J167" s="50">
        <f t="shared" ref="J167:O167" si="86">SUM(J168:J169)</f>
        <v>67249</v>
      </c>
      <c r="K167" s="49">
        <f t="shared" si="86"/>
        <v>0</v>
      </c>
      <c r="L167" s="49">
        <f t="shared" si="86"/>
        <v>0</v>
      </c>
      <c r="M167" s="49">
        <f t="shared" si="86"/>
        <v>0</v>
      </c>
      <c r="N167" s="49">
        <f t="shared" si="86"/>
        <v>0</v>
      </c>
      <c r="O167" s="49">
        <f t="shared" si="86"/>
        <v>0</v>
      </c>
      <c r="P167" s="32"/>
    </row>
    <row r="168" spans="1:16" ht="25.5" customHeight="1">
      <c r="A168" s="35"/>
      <c r="B168" s="36"/>
      <c r="C168" s="43" t="s">
        <v>95</v>
      </c>
      <c r="D168" s="39">
        <f>132000+23294-68250-12044</f>
        <v>75000</v>
      </c>
      <c r="E168" s="38">
        <f>SUM(F168:I168)</f>
        <v>0</v>
      </c>
      <c r="F168" s="38">
        <v>0</v>
      </c>
      <c r="G168" s="38">
        <v>0</v>
      </c>
      <c r="H168" s="38">
        <v>0</v>
      </c>
      <c r="I168" s="38">
        <v>0</v>
      </c>
      <c r="J168" s="39">
        <v>67249</v>
      </c>
      <c r="K168" s="38">
        <f>SUM(L168:O168)</f>
        <v>0</v>
      </c>
      <c r="L168" s="38">
        <v>0</v>
      </c>
      <c r="M168" s="38">
        <v>0</v>
      </c>
      <c r="N168" s="38">
        <v>0</v>
      </c>
      <c r="O168" s="38">
        <v>0</v>
      </c>
      <c r="P168" s="40" t="s">
        <v>198</v>
      </c>
    </row>
    <row r="169" spans="1:16" ht="27.75" customHeight="1">
      <c r="A169" s="54"/>
      <c r="B169" s="58"/>
      <c r="C169" s="43" t="s">
        <v>166</v>
      </c>
      <c r="D169" s="38">
        <f>10800+1200</f>
        <v>12000</v>
      </c>
      <c r="E169" s="38">
        <f>SUM(F169:I169)</f>
        <v>0</v>
      </c>
      <c r="F169" s="38">
        <v>0</v>
      </c>
      <c r="G169" s="38">
        <v>0</v>
      </c>
      <c r="H169" s="38">
        <v>0</v>
      </c>
      <c r="I169" s="38">
        <v>0</v>
      </c>
      <c r="J169" s="39">
        <v>0</v>
      </c>
      <c r="K169" s="38">
        <f>SUM(L169:O169)</f>
        <v>0</v>
      </c>
      <c r="L169" s="38">
        <v>0</v>
      </c>
      <c r="M169" s="38">
        <v>0</v>
      </c>
      <c r="N169" s="38">
        <v>0</v>
      </c>
      <c r="O169" s="38">
        <v>0</v>
      </c>
      <c r="P169" s="42"/>
    </row>
    <row r="170" spans="1:16" s="34" customFormat="1" ht="15.75" hidden="1" customHeight="1">
      <c r="A170" s="46"/>
      <c r="B170" s="60" t="s">
        <v>96</v>
      </c>
      <c r="C170" s="61" t="s">
        <v>117</v>
      </c>
      <c r="D170" s="62">
        <f t="shared" ref="D170:O170" si="87">SUM(D171)</f>
        <v>0</v>
      </c>
      <c r="E170" s="62">
        <f t="shared" si="87"/>
        <v>0</v>
      </c>
      <c r="F170" s="62">
        <f t="shared" si="87"/>
        <v>0</v>
      </c>
      <c r="G170" s="62">
        <f t="shared" si="87"/>
        <v>0</v>
      </c>
      <c r="H170" s="62">
        <f t="shared" si="87"/>
        <v>0</v>
      </c>
      <c r="I170" s="62">
        <f t="shared" si="87"/>
        <v>0</v>
      </c>
      <c r="J170" s="63">
        <f t="shared" si="87"/>
        <v>0</v>
      </c>
      <c r="K170" s="62">
        <f t="shared" si="87"/>
        <v>0</v>
      </c>
      <c r="L170" s="62">
        <f t="shared" si="87"/>
        <v>0</v>
      </c>
      <c r="M170" s="62">
        <f t="shared" si="87"/>
        <v>0</v>
      </c>
      <c r="N170" s="62">
        <f t="shared" si="87"/>
        <v>0</v>
      </c>
      <c r="O170" s="62">
        <f t="shared" si="87"/>
        <v>0</v>
      </c>
      <c r="P170" s="72"/>
    </row>
    <row r="171" spans="1:16" ht="27.75" hidden="1" customHeight="1">
      <c r="A171" s="58"/>
      <c r="B171" s="58"/>
      <c r="C171" s="43" t="s">
        <v>26</v>
      </c>
      <c r="D171" s="39">
        <f>14450+2550-17000</f>
        <v>0</v>
      </c>
      <c r="E171" s="38">
        <f>SUM(F171:I171)</f>
        <v>0</v>
      </c>
      <c r="F171" s="38">
        <v>0</v>
      </c>
      <c r="G171" s="38">
        <v>0</v>
      </c>
      <c r="H171" s="38">
        <v>0</v>
      </c>
      <c r="I171" s="38">
        <v>0</v>
      </c>
      <c r="J171" s="39"/>
      <c r="K171" s="38">
        <f>SUM(L171:O171)</f>
        <v>0</v>
      </c>
      <c r="L171" s="38"/>
      <c r="M171" s="38"/>
      <c r="N171" s="38"/>
      <c r="O171" s="38"/>
      <c r="P171" s="70" t="s">
        <v>198</v>
      </c>
    </row>
    <row r="172" spans="1:16" s="26" customFormat="1" ht="14.25" customHeight="1">
      <c r="A172" s="21" t="s">
        <v>97</v>
      </c>
      <c r="B172" s="21"/>
      <c r="C172" s="86" t="s">
        <v>134</v>
      </c>
      <c r="D172" s="23">
        <f>D173</f>
        <v>2339097</v>
      </c>
      <c r="E172" s="23">
        <f t="shared" ref="E172:O172" si="88">E173</f>
        <v>913779</v>
      </c>
      <c r="F172" s="23">
        <f t="shared" si="88"/>
        <v>913779</v>
      </c>
      <c r="G172" s="23">
        <f t="shared" si="88"/>
        <v>0</v>
      </c>
      <c r="H172" s="23">
        <f t="shared" si="88"/>
        <v>0</v>
      </c>
      <c r="I172" s="23">
        <f t="shared" si="88"/>
        <v>0</v>
      </c>
      <c r="J172" s="24">
        <f>J173</f>
        <v>2332217</v>
      </c>
      <c r="K172" s="23">
        <f t="shared" si="88"/>
        <v>761252</v>
      </c>
      <c r="L172" s="23">
        <f t="shared" si="88"/>
        <v>761252</v>
      </c>
      <c r="M172" s="23">
        <f t="shared" si="88"/>
        <v>0</v>
      </c>
      <c r="N172" s="23">
        <f t="shared" si="88"/>
        <v>0</v>
      </c>
      <c r="O172" s="23">
        <f t="shared" si="88"/>
        <v>0</v>
      </c>
      <c r="P172" s="25"/>
    </row>
    <row r="173" spans="1:16" s="34" customFormat="1" ht="15.75" customHeight="1">
      <c r="A173" s="46"/>
      <c r="B173" s="47" t="s">
        <v>98</v>
      </c>
      <c r="C173" s="48" t="s">
        <v>135</v>
      </c>
      <c r="D173" s="49">
        <f>SUM(D174:D176)</f>
        <v>2339097</v>
      </c>
      <c r="E173" s="49">
        <f t="shared" ref="E173:I173" si="89">SUM(E174:E176)</f>
        <v>913779</v>
      </c>
      <c r="F173" s="49">
        <f t="shared" si="89"/>
        <v>913779</v>
      </c>
      <c r="G173" s="49">
        <f t="shared" si="89"/>
        <v>0</v>
      </c>
      <c r="H173" s="49">
        <f t="shared" si="89"/>
        <v>0</v>
      </c>
      <c r="I173" s="49">
        <f t="shared" si="89"/>
        <v>0</v>
      </c>
      <c r="J173" s="50">
        <f>SUM(J174:J176)</f>
        <v>2332217</v>
      </c>
      <c r="K173" s="49">
        <f t="shared" ref="K173:O173" si="90">SUM(K174:K176)</f>
        <v>761252</v>
      </c>
      <c r="L173" s="49">
        <f t="shared" si="90"/>
        <v>761252</v>
      </c>
      <c r="M173" s="49">
        <f t="shared" si="90"/>
        <v>0</v>
      </c>
      <c r="N173" s="49">
        <f t="shared" si="90"/>
        <v>0</v>
      </c>
      <c r="O173" s="49">
        <f t="shared" si="90"/>
        <v>0</v>
      </c>
      <c r="P173" s="32"/>
    </row>
    <row r="174" spans="1:16" ht="48" customHeight="1">
      <c r="A174" s="54"/>
      <c r="B174" s="54"/>
      <c r="C174" s="43" t="s">
        <v>99</v>
      </c>
      <c r="D174" s="38">
        <v>0</v>
      </c>
      <c r="E174" s="38">
        <f>SUM(F174:I174)</f>
        <v>761252</v>
      </c>
      <c r="F174" s="38">
        <f>400000+361252</f>
        <v>761252</v>
      </c>
      <c r="G174" s="38">
        <v>0</v>
      </c>
      <c r="H174" s="38">
        <v>0</v>
      </c>
      <c r="I174" s="38">
        <v>0</v>
      </c>
      <c r="J174" s="39">
        <v>0</v>
      </c>
      <c r="K174" s="38">
        <f>SUM(L174:O174)</f>
        <v>761252</v>
      </c>
      <c r="L174" s="38">
        <v>761252</v>
      </c>
      <c r="M174" s="38">
        <v>0</v>
      </c>
      <c r="N174" s="38">
        <v>0</v>
      </c>
      <c r="O174" s="38">
        <v>0</v>
      </c>
      <c r="P174" s="70" t="s">
        <v>197</v>
      </c>
    </row>
    <row r="175" spans="1:16" ht="32.25" customHeight="1">
      <c r="A175" s="54"/>
      <c r="B175" s="54"/>
      <c r="C175" s="53" t="s">
        <v>100</v>
      </c>
      <c r="D175" s="57">
        <f>2835086+1988527-2525295+40779</f>
        <v>2339097</v>
      </c>
      <c r="E175" s="56">
        <f>SUM(F175:I175)</f>
        <v>0</v>
      </c>
      <c r="F175" s="56">
        <v>0</v>
      </c>
      <c r="G175" s="56">
        <v>0</v>
      </c>
      <c r="H175" s="56">
        <v>0</v>
      </c>
      <c r="I175" s="56">
        <v>0</v>
      </c>
      <c r="J175" s="57">
        <v>2332217</v>
      </c>
      <c r="K175" s="56">
        <f>SUM(L175:O175)</f>
        <v>0</v>
      </c>
      <c r="L175" s="56">
        <v>0</v>
      </c>
      <c r="M175" s="56">
        <v>0</v>
      </c>
      <c r="N175" s="56">
        <v>0</v>
      </c>
      <c r="O175" s="56">
        <v>0</v>
      </c>
      <c r="P175" s="40" t="s">
        <v>196</v>
      </c>
    </row>
    <row r="176" spans="1:16" ht="32.25" customHeight="1">
      <c r="A176" s="58"/>
      <c r="B176" s="58"/>
      <c r="C176" s="71" t="s">
        <v>100</v>
      </c>
      <c r="D176" s="57">
        <v>0</v>
      </c>
      <c r="E176" s="57">
        <f>SUM(F176:I176)</f>
        <v>152527</v>
      </c>
      <c r="F176" s="57">
        <v>152527</v>
      </c>
      <c r="G176" s="57">
        <v>0</v>
      </c>
      <c r="H176" s="57">
        <v>0</v>
      </c>
      <c r="I176" s="57">
        <v>0</v>
      </c>
      <c r="J176" s="57">
        <v>0</v>
      </c>
      <c r="K176" s="57">
        <f>SUM(L176:O176)</f>
        <v>0</v>
      </c>
      <c r="L176" s="57">
        <v>0</v>
      </c>
      <c r="M176" s="57">
        <v>0</v>
      </c>
      <c r="N176" s="57">
        <v>0</v>
      </c>
      <c r="O176" s="57">
        <v>0</v>
      </c>
      <c r="P176" s="44"/>
    </row>
    <row r="177" spans="1:16" s="26" customFormat="1" ht="14.25" customHeight="1">
      <c r="A177" s="21" t="s">
        <v>101</v>
      </c>
      <c r="B177" s="21"/>
      <c r="C177" s="86" t="s">
        <v>136</v>
      </c>
      <c r="D177" s="23">
        <f>D178</f>
        <v>0</v>
      </c>
      <c r="E177" s="23">
        <f t="shared" ref="E177:O178" si="91">E178</f>
        <v>1479913</v>
      </c>
      <c r="F177" s="23">
        <f t="shared" si="91"/>
        <v>37461</v>
      </c>
      <c r="G177" s="23">
        <f t="shared" si="91"/>
        <v>0</v>
      </c>
      <c r="H177" s="23">
        <f t="shared" si="91"/>
        <v>1442452</v>
      </c>
      <c r="I177" s="23">
        <f t="shared" si="91"/>
        <v>0</v>
      </c>
      <c r="J177" s="24">
        <f>J178</f>
        <v>0</v>
      </c>
      <c r="K177" s="23">
        <f t="shared" si="91"/>
        <v>1479912</v>
      </c>
      <c r="L177" s="23">
        <f t="shared" si="91"/>
        <v>37460</v>
      </c>
      <c r="M177" s="23">
        <f t="shared" si="91"/>
        <v>0</v>
      </c>
      <c r="N177" s="23">
        <f t="shared" si="91"/>
        <v>1442452</v>
      </c>
      <c r="O177" s="23">
        <f t="shared" si="91"/>
        <v>0</v>
      </c>
      <c r="P177" s="25"/>
    </row>
    <row r="178" spans="1:16" s="34" customFormat="1" ht="15.75" customHeight="1">
      <c r="A178" s="46"/>
      <c r="B178" s="47" t="s">
        <v>102</v>
      </c>
      <c r="C178" s="48" t="s">
        <v>137</v>
      </c>
      <c r="D178" s="49">
        <f>D179</f>
        <v>0</v>
      </c>
      <c r="E178" s="49">
        <f t="shared" si="91"/>
        <v>1479913</v>
      </c>
      <c r="F178" s="49">
        <f t="shared" si="91"/>
        <v>37461</v>
      </c>
      <c r="G178" s="49">
        <f t="shared" si="91"/>
        <v>0</v>
      </c>
      <c r="H178" s="49">
        <f t="shared" si="91"/>
        <v>1442452</v>
      </c>
      <c r="I178" s="49">
        <f t="shared" si="91"/>
        <v>0</v>
      </c>
      <c r="J178" s="50">
        <f>J179</f>
        <v>0</v>
      </c>
      <c r="K178" s="49">
        <f t="shared" si="91"/>
        <v>1479912</v>
      </c>
      <c r="L178" s="49">
        <f t="shared" si="91"/>
        <v>37460</v>
      </c>
      <c r="M178" s="49">
        <f t="shared" si="91"/>
        <v>0</v>
      </c>
      <c r="N178" s="49">
        <f t="shared" si="91"/>
        <v>1442452</v>
      </c>
      <c r="O178" s="49">
        <f t="shared" si="91"/>
        <v>0</v>
      </c>
      <c r="P178" s="32"/>
    </row>
    <row r="179" spans="1:16" s="4" customFormat="1" ht="42.75" customHeight="1">
      <c r="A179" s="97"/>
      <c r="B179" s="97"/>
      <c r="C179" s="55" t="s">
        <v>103</v>
      </c>
      <c r="D179" s="39">
        <v>0</v>
      </c>
      <c r="E179" s="39">
        <f>SUM(F179:I179)</f>
        <v>1479913</v>
      </c>
      <c r="F179" s="39">
        <f>106872-75000+5000+589</f>
        <v>37461</v>
      </c>
      <c r="G179" s="39">
        <v>0</v>
      </c>
      <c r="H179" s="39">
        <f>3817000+250000+75000-5000-2694548</f>
        <v>1442452</v>
      </c>
      <c r="I179" s="39">
        <v>0</v>
      </c>
      <c r="J179" s="39">
        <v>0</v>
      </c>
      <c r="K179" s="39">
        <f>SUM(L179:O179)</f>
        <v>1479912</v>
      </c>
      <c r="L179" s="39">
        <v>37460</v>
      </c>
      <c r="M179" s="39">
        <v>0</v>
      </c>
      <c r="N179" s="39">
        <v>1442452</v>
      </c>
      <c r="O179" s="39"/>
      <c r="P179" s="98" t="s">
        <v>18</v>
      </c>
    </row>
    <row r="180" spans="1:16" s="26" customFormat="1" ht="28.5" customHeight="1">
      <c r="A180" s="99" t="s">
        <v>104</v>
      </c>
      <c r="B180" s="21"/>
      <c r="C180" s="22" t="s">
        <v>165</v>
      </c>
      <c r="D180" s="23">
        <f t="shared" ref="D180:O180" si="92">D181</f>
        <v>20000</v>
      </c>
      <c r="E180" s="23">
        <f t="shared" si="92"/>
        <v>90442</v>
      </c>
      <c r="F180" s="23">
        <f t="shared" si="92"/>
        <v>25790</v>
      </c>
      <c r="G180" s="23">
        <f t="shared" si="92"/>
        <v>0</v>
      </c>
      <c r="H180" s="23">
        <f t="shared" si="92"/>
        <v>46920</v>
      </c>
      <c r="I180" s="23">
        <f t="shared" si="92"/>
        <v>17732</v>
      </c>
      <c r="J180" s="24">
        <f t="shared" si="92"/>
        <v>20000</v>
      </c>
      <c r="K180" s="23">
        <f t="shared" si="92"/>
        <v>90441</v>
      </c>
      <c r="L180" s="23">
        <f t="shared" si="92"/>
        <v>25790</v>
      </c>
      <c r="M180" s="23">
        <f t="shared" si="92"/>
        <v>0</v>
      </c>
      <c r="N180" s="23">
        <f t="shared" si="92"/>
        <v>46920</v>
      </c>
      <c r="O180" s="23">
        <f t="shared" si="92"/>
        <v>17731</v>
      </c>
      <c r="P180" s="25"/>
    </row>
    <row r="181" spans="1:16" s="34" customFormat="1" ht="15.75" customHeight="1">
      <c r="A181" s="46"/>
      <c r="B181" s="47" t="s">
        <v>105</v>
      </c>
      <c r="C181" s="48" t="s">
        <v>138</v>
      </c>
      <c r="D181" s="49">
        <f>SUM(D182:D188)</f>
        <v>20000</v>
      </c>
      <c r="E181" s="49">
        <f t="shared" ref="E181:I181" si="93">SUM(E182:E188)</f>
        <v>90442</v>
      </c>
      <c r="F181" s="49">
        <f t="shared" si="93"/>
        <v>25790</v>
      </c>
      <c r="G181" s="49">
        <f t="shared" si="93"/>
        <v>0</v>
      </c>
      <c r="H181" s="49">
        <f t="shared" si="93"/>
        <v>46920</v>
      </c>
      <c r="I181" s="49">
        <f t="shared" si="93"/>
        <v>17732</v>
      </c>
      <c r="J181" s="50">
        <f>SUM(J182:J188)</f>
        <v>20000</v>
      </c>
      <c r="K181" s="49">
        <f>SUM(K182:K188)</f>
        <v>90441</v>
      </c>
      <c r="L181" s="49">
        <f>SUM(L182:L188)</f>
        <v>25790</v>
      </c>
      <c r="M181" s="49">
        <f t="shared" ref="M181:O181" si="94">SUM(M182:M188)</f>
        <v>0</v>
      </c>
      <c r="N181" s="49">
        <f t="shared" si="94"/>
        <v>46920</v>
      </c>
      <c r="O181" s="49">
        <f t="shared" si="94"/>
        <v>17731</v>
      </c>
      <c r="P181" s="32"/>
    </row>
    <row r="182" spans="1:16" s="92" customFormat="1" ht="23.25" customHeight="1">
      <c r="A182" s="35"/>
      <c r="B182" s="54"/>
      <c r="C182" s="100" t="s">
        <v>154</v>
      </c>
      <c r="D182" s="38">
        <v>0</v>
      </c>
      <c r="E182" s="38">
        <f t="shared" ref="E182:E188" si="95">SUM(F182:I182)</f>
        <v>9594</v>
      </c>
      <c r="F182" s="39">
        <v>2262</v>
      </c>
      <c r="G182" s="39">
        <v>0</v>
      </c>
      <c r="H182" s="39">
        <f>9838-2506</f>
        <v>7332</v>
      </c>
      <c r="I182" s="38">
        <v>0</v>
      </c>
      <c r="J182" s="39">
        <v>0</v>
      </c>
      <c r="K182" s="38">
        <f t="shared" ref="K182:K188" si="96">SUM(L182:O182)</f>
        <v>9594</v>
      </c>
      <c r="L182" s="39">
        <v>2262</v>
      </c>
      <c r="M182" s="39">
        <v>0</v>
      </c>
      <c r="N182" s="39">
        <v>7332</v>
      </c>
      <c r="O182" s="38">
        <v>0</v>
      </c>
      <c r="P182" s="40" t="s">
        <v>155</v>
      </c>
    </row>
    <row r="183" spans="1:16" s="92" customFormat="1" ht="22.5" customHeight="1">
      <c r="A183" s="35"/>
      <c r="B183" s="54"/>
      <c r="C183" s="100" t="s">
        <v>156</v>
      </c>
      <c r="D183" s="38">
        <v>0</v>
      </c>
      <c r="E183" s="38">
        <f t="shared" si="95"/>
        <v>28431</v>
      </c>
      <c r="F183" s="39">
        <v>5373</v>
      </c>
      <c r="G183" s="39">
        <v>0</v>
      </c>
      <c r="H183" s="39">
        <f>23359-301</f>
        <v>23058</v>
      </c>
      <c r="I183" s="38">
        <v>0</v>
      </c>
      <c r="J183" s="39">
        <v>0</v>
      </c>
      <c r="K183" s="38">
        <f t="shared" si="96"/>
        <v>28431</v>
      </c>
      <c r="L183" s="39">
        <v>5373</v>
      </c>
      <c r="M183" s="39">
        <v>0</v>
      </c>
      <c r="N183" s="39">
        <v>23058</v>
      </c>
      <c r="O183" s="38">
        <v>0</v>
      </c>
      <c r="P183" s="42"/>
    </row>
    <row r="184" spans="1:16" s="92" customFormat="1" ht="28.5" customHeight="1">
      <c r="A184" s="35"/>
      <c r="B184" s="54"/>
      <c r="C184" s="101" t="s">
        <v>157</v>
      </c>
      <c r="D184" s="56">
        <v>0</v>
      </c>
      <c r="E184" s="56">
        <f t="shared" si="95"/>
        <v>20756</v>
      </c>
      <c r="F184" s="57">
        <v>4226</v>
      </c>
      <c r="G184" s="57">
        <v>0</v>
      </c>
      <c r="H184" s="57">
        <f>18374-1844</f>
        <v>16530</v>
      </c>
      <c r="I184" s="56">
        <v>0</v>
      </c>
      <c r="J184" s="57">
        <v>0</v>
      </c>
      <c r="K184" s="56">
        <f t="shared" si="96"/>
        <v>20756</v>
      </c>
      <c r="L184" s="57">
        <v>4226</v>
      </c>
      <c r="M184" s="57">
        <v>0</v>
      </c>
      <c r="N184" s="57">
        <v>16530</v>
      </c>
      <c r="O184" s="56">
        <v>0</v>
      </c>
      <c r="P184" s="102"/>
    </row>
    <row r="185" spans="1:16" ht="53.25" customHeight="1">
      <c r="A185" s="54"/>
      <c r="B185" s="54"/>
      <c r="C185" s="43" t="s">
        <v>106</v>
      </c>
      <c r="D185" s="38">
        <v>0</v>
      </c>
      <c r="E185" s="38">
        <f t="shared" si="95"/>
        <v>7800</v>
      </c>
      <c r="F185" s="38">
        <v>7800</v>
      </c>
      <c r="G185" s="38">
        <v>0</v>
      </c>
      <c r="H185" s="38">
        <v>0</v>
      </c>
      <c r="I185" s="38">
        <v>0</v>
      </c>
      <c r="J185" s="39">
        <v>0</v>
      </c>
      <c r="K185" s="38">
        <f t="shared" si="96"/>
        <v>7800</v>
      </c>
      <c r="L185" s="38">
        <v>7800</v>
      </c>
      <c r="M185" s="38">
        <v>0</v>
      </c>
      <c r="N185" s="38">
        <v>0</v>
      </c>
      <c r="O185" s="38">
        <v>0</v>
      </c>
      <c r="P185" s="70" t="s">
        <v>107</v>
      </c>
    </row>
    <row r="186" spans="1:16" ht="41.25" customHeight="1">
      <c r="A186" s="54"/>
      <c r="B186" s="54"/>
      <c r="C186" s="71" t="s">
        <v>59</v>
      </c>
      <c r="D186" s="57">
        <v>0</v>
      </c>
      <c r="E186" s="57">
        <f t="shared" si="95"/>
        <v>20861</v>
      </c>
      <c r="F186" s="57">
        <v>3129</v>
      </c>
      <c r="G186" s="57">
        <v>0</v>
      </c>
      <c r="H186" s="57">
        <v>0</v>
      </c>
      <c r="I186" s="57">
        <f>5961+11771</f>
        <v>17732</v>
      </c>
      <c r="J186" s="57">
        <v>0</v>
      </c>
      <c r="K186" s="57">
        <f t="shared" si="96"/>
        <v>20860</v>
      </c>
      <c r="L186" s="57">
        <v>3129</v>
      </c>
      <c r="M186" s="57">
        <v>0</v>
      </c>
      <c r="N186" s="57">
        <v>0</v>
      </c>
      <c r="O186" s="57">
        <v>17731</v>
      </c>
      <c r="P186" s="98" t="s">
        <v>195</v>
      </c>
    </row>
    <row r="187" spans="1:16" ht="41.25" customHeight="1">
      <c r="A187" s="54"/>
      <c r="B187" s="54"/>
      <c r="C187" s="71" t="s">
        <v>219</v>
      </c>
      <c r="D187" s="57">
        <v>20000</v>
      </c>
      <c r="E187" s="57">
        <f t="shared" ref="E187" si="97">SUM(F187:I187)</f>
        <v>0</v>
      </c>
      <c r="F187" s="57">
        <v>0</v>
      </c>
      <c r="G187" s="57">
        <v>0</v>
      </c>
      <c r="H187" s="57">
        <v>0</v>
      </c>
      <c r="I187" s="57">
        <v>0</v>
      </c>
      <c r="J187" s="57">
        <v>20000</v>
      </c>
      <c r="K187" s="57">
        <f t="shared" si="96"/>
        <v>0</v>
      </c>
      <c r="L187" s="57">
        <v>0</v>
      </c>
      <c r="M187" s="57">
        <v>0</v>
      </c>
      <c r="N187" s="57">
        <v>0</v>
      </c>
      <c r="O187" s="57">
        <v>0</v>
      </c>
      <c r="P187" s="103" t="s">
        <v>218</v>
      </c>
    </row>
    <row r="188" spans="1:16" ht="26.25" customHeight="1">
      <c r="A188" s="54"/>
      <c r="B188" s="54"/>
      <c r="C188" s="71" t="s">
        <v>231</v>
      </c>
      <c r="D188" s="57">
        <v>0</v>
      </c>
      <c r="E188" s="57">
        <f t="shared" si="95"/>
        <v>3000</v>
      </c>
      <c r="F188" s="57">
        <v>3000</v>
      </c>
      <c r="G188" s="57">
        <v>0</v>
      </c>
      <c r="H188" s="57">
        <v>0</v>
      </c>
      <c r="I188" s="57">
        <v>0</v>
      </c>
      <c r="J188" s="57">
        <v>0</v>
      </c>
      <c r="K188" s="57">
        <f t="shared" si="96"/>
        <v>3000</v>
      </c>
      <c r="L188" s="57">
        <v>3000</v>
      </c>
      <c r="M188" s="57">
        <v>0</v>
      </c>
      <c r="N188" s="57">
        <v>0</v>
      </c>
      <c r="O188" s="57">
        <v>0</v>
      </c>
      <c r="P188" s="104"/>
    </row>
    <row r="189" spans="1:16" s="111" customFormat="1" ht="18" customHeight="1">
      <c r="A189" s="105" t="s">
        <v>150</v>
      </c>
      <c r="B189" s="106"/>
      <c r="C189" s="107"/>
      <c r="D189" s="108">
        <f t="shared" ref="D189:O189" si="98">SUM(D16+D38+D41+D46+D118+D124+D128+D131+D152+D158+D161+D166+D172+D177+D180)</f>
        <v>103743614</v>
      </c>
      <c r="E189" s="108">
        <f t="shared" si="98"/>
        <v>34785833</v>
      </c>
      <c r="F189" s="108">
        <f t="shared" si="98"/>
        <v>30991544</v>
      </c>
      <c r="G189" s="108">
        <f t="shared" si="98"/>
        <v>1315385</v>
      </c>
      <c r="H189" s="108">
        <f t="shared" si="98"/>
        <v>2296172</v>
      </c>
      <c r="I189" s="108">
        <f t="shared" si="98"/>
        <v>182732</v>
      </c>
      <c r="J189" s="109">
        <f t="shared" si="98"/>
        <v>95608725</v>
      </c>
      <c r="K189" s="108">
        <f t="shared" si="98"/>
        <v>33701370</v>
      </c>
      <c r="L189" s="108">
        <f t="shared" si="98"/>
        <v>31530515</v>
      </c>
      <c r="M189" s="108">
        <f t="shared" si="98"/>
        <v>2000</v>
      </c>
      <c r="N189" s="108">
        <f t="shared" si="98"/>
        <v>2132578</v>
      </c>
      <c r="O189" s="108">
        <f t="shared" si="98"/>
        <v>23731</v>
      </c>
      <c r="P189" s="110"/>
    </row>
    <row r="191" spans="1:16">
      <c r="C191" s="112"/>
      <c r="D191" s="113"/>
      <c r="E191" s="113"/>
      <c r="F191" s="113"/>
      <c r="G191" s="113"/>
      <c r="H191" s="113"/>
      <c r="I191" s="113"/>
      <c r="J191" s="114"/>
      <c r="K191" s="113"/>
      <c r="L191" s="113"/>
      <c r="M191" s="113"/>
      <c r="N191" s="113"/>
      <c r="O191" s="113"/>
    </row>
    <row r="193" spans="3:15">
      <c r="C193" s="115"/>
      <c r="D193" s="113"/>
      <c r="E193" s="113"/>
      <c r="F193" s="113"/>
      <c r="G193" s="113"/>
      <c r="H193" s="113"/>
      <c r="I193" s="113"/>
      <c r="J193" s="114"/>
      <c r="K193" s="113"/>
      <c r="L193" s="113"/>
      <c r="M193" s="113"/>
      <c r="N193" s="113"/>
      <c r="O193" s="113"/>
    </row>
    <row r="194" spans="3:15">
      <c r="C194" s="112"/>
      <c r="D194" s="113"/>
      <c r="E194" s="113"/>
      <c r="F194" s="113"/>
      <c r="G194" s="113"/>
      <c r="H194" s="113"/>
      <c r="I194" s="113"/>
      <c r="J194" s="114"/>
      <c r="K194" s="113"/>
      <c r="L194" s="113"/>
      <c r="M194" s="113"/>
      <c r="N194" s="113"/>
      <c r="O194" s="113"/>
    </row>
    <row r="195" spans="3:15">
      <c r="D195" s="113"/>
      <c r="J195" s="114"/>
    </row>
  </sheetData>
  <mergeCells count="31">
    <mergeCell ref="E12:I12"/>
    <mergeCell ref="F13:I13"/>
    <mergeCell ref="E13:E14"/>
    <mergeCell ref="P182:P184"/>
    <mergeCell ref="P126:P127"/>
    <mergeCell ref="P148:P151"/>
    <mergeCell ref="P24:P28"/>
    <mergeCell ref="P29:P31"/>
    <mergeCell ref="P135:P146"/>
    <mergeCell ref="P114:P117"/>
    <mergeCell ref="P109:P110"/>
    <mergeCell ref="P51:P86"/>
    <mergeCell ref="P87:P107"/>
    <mergeCell ref="P168:P169"/>
    <mergeCell ref="P48:P49"/>
    <mergeCell ref="A9:P9"/>
    <mergeCell ref="P187:P188"/>
    <mergeCell ref="A189:C189"/>
    <mergeCell ref="P122:P123"/>
    <mergeCell ref="P43:P44"/>
    <mergeCell ref="P175:P176"/>
    <mergeCell ref="A12:A14"/>
    <mergeCell ref="B12:B14"/>
    <mergeCell ref="P12:P14"/>
    <mergeCell ref="J12:J14"/>
    <mergeCell ref="K12:O12"/>
    <mergeCell ref="K13:K14"/>
    <mergeCell ref="L13:O13"/>
    <mergeCell ref="P18:P21"/>
    <mergeCell ref="C12:C14"/>
    <mergeCell ref="D12:D14"/>
  </mergeCells>
  <phoneticPr fontId="1" type="noConversion"/>
  <printOptions horizontalCentered="1"/>
  <pageMargins left="0" right="0" top="0.59055118110236227" bottom="0.39370078740157483" header="0" footer="0"/>
  <pageSetup paperSize="9" scale="61" orientation="landscape" r:id="rId1"/>
  <headerFooter alignWithMargins="0">
    <oddFooter>Strona &amp;P z &amp;N</oddFooter>
  </headerFooter>
  <rowBreaks count="3" manualBreakCount="3">
    <brk id="45" max="15" man="1"/>
    <brk id="123" max="15" man="1"/>
    <brk id="16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2012-03-22T09:40:01Z</cp:lastPrinted>
  <dcterms:created xsi:type="dcterms:W3CDTF">2010-11-24T14:24:05Z</dcterms:created>
  <dcterms:modified xsi:type="dcterms:W3CDTF">2012-04-02T11:47:08Z</dcterms:modified>
</cp:coreProperties>
</file>