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3170" tabRatio="522"/>
  </bookViews>
  <sheets>
    <sheet name="Arkusz1" sheetId="1" r:id="rId1"/>
  </sheets>
  <definedNames>
    <definedName name="_xlnm.Print_Area" localSheetId="0">Arkusz1!$A$1:$P$166</definedName>
    <definedName name="_xlnm.Print_Titles" localSheetId="0">Arkusz1!$10:$14</definedName>
  </definedNames>
  <calcPr calcId="125725"/>
</workbook>
</file>

<file path=xl/calcChain.xml><?xml version="1.0" encoding="utf-8"?>
<calcChain xmlns="http://schemas.openxmlformats.org/spreadsheetml/2006/main">
  <c r="E160" i="1"/>
  <c r="E159" s="1"/>
  <c r="E157"/>
  <c r="E156" s="1"/>
  <c r="E153"/>
  <c r="E152" s="1"/>
  <c r="E150"/>
  <c r="E147"/>
  <c r="D130"/>
  <c r="E146" l="1"/>
  <c r="E143"/>
  <c r="E141"/>
  <c r="E140" s="1"/>
  <c r="E137"/>
  <c r="E135"/>
  <c r="E129"/>
  <c r="E115"/>
  <c r="E113"/>
  <c r="E109"/>
  <c r="E108" s="1"/>
  <c r="E105"/>
  <c r="E103"/>
  <c r="E98"/>
  <c r="E96"/>
  <c r="E94"/>
  <c r="E45"/>
  <c r="E48"/>
  <c r="E102" l="1"/>
  <c r="E134"/>
  <c r="E112"/>
  <c r="E44"/>
  <c r="E30"/>
  <c r="E34"/>
  <c r="E32"/>
  <c r="E40"/>
  <c r="E39" s="1"/>
  <c r="E37"/>
  <c r="E36" s="1"/>
  <c r="E21" l="1"/>
  <c r="E16"/>
  <c r="K165"/>
  <c r="K164"/>
  <c r="K163"/>
  <c r="K162"/>
  <c r="K161"/>
  <c r="O160"/>
  <c r="N160"/>
  <c r="M160"/>
  <c r="L160"/>
  <c r="L159" s="1"/>
  <c r="O159"/>
  <c r="N159"/>
  <c r="M159"/>
  <c r="K158"/>
  <c r="K157" s="1"/>
  <c r="K156" s="1"/>
  <c r="O157"/>
  <c r="N157"/>
  <c r="M157"/>
  <c r="L157"/>
  <c r="O156"/>
  <c r="N156"/>
  <c r="M156"/>
  <c r="L156"/>
  <c r="K155"/>
  <c r="K154"/>
  <c r="K153" s="1"/>
  <c r="K152" s="1"/>
  <c r="O153"/>
  <c r="N153"/>
  <c r="M153"/>
  <c r="L153"/>
  <c r="L152" s="1"/>
  <c r="O152"/>
  <c r="N152"/>
  <c r="M152"/>
  <c r="K151"/>
  <c r="O150"/>
  <c r="N150"/>
  <c r="M150"/>
  <c r="L150"/>
  <c r="K150"/>
  <c r="K149"/>
  <c r="K148"/>
  <c r="O147"/>
  <c r="N147"/>
  <c r="M147"/>
  <c r="L147"/>
  <c r="K147"/>
  <c r="O146"/>
  <c r="N146"/>
  <c r="M146"/>
  <c r="L146"/>
  <c r="K146"/>
  <c r="K145"/>
  <c r="K144" s="1"/>
  <c r="K143" s="1"/>
  <c r="O144"/>
  <c r="N144"/>
  <c r="M144"/>
  <c r="L144"/>
  <c r="L143" s="1"/>
  <c r="O143"/>
  <c r="N143"/>
  <c r="M143"/>
  <c r="K142"/>
  <c r="K141" s="1"/>
  <c r="K140" s="1"/>
  <c r="O141"/>
  <c r="N141"/>
  <c r="M141"/>
  <c r="L141"/>
  <c r="L140" s="1"/>
  <c r="O140"/>
  <c r="N140"/>
  <c r="M140"/>
  <c r="K139"/>
  <c r="K138"/>
  <c r="O137"/>
  <c r="N137"/>
  <c r="M137"/>
  <c r="L137"/>
  <c r="K137"/>
  <c r="K136"/>
  <c r="O135"/>
  <c r="O134" s="1"/>
  <c r="N135"/>
  <c r="M135"/>
  <c r="M134" s="1"/>
  <c r="L135"/>
  <c r="K135"/>
  <c r="K134" s="1"/>
  <c r="N134"/>
  <c r="L134"/>
  <c r="K133"/>
  <c r="K132"/>
  <c r="K131"/>
  <c r="K130"/>
  <c r="K129" s="1"/>
  <c r="O129"/>
  <c r="N129"/>
  <c r="M129"/>
  <c r="L129"/>
  <c r="K128"/>
  <c r="K127"/>
  <c r="K126"/>
  <c r="K125"/>
  <c r="K124"/>
  <c r="L123"/>
  <c r="K123" s="1"/>
  <c r="L122"/>
  <c r="K122" s="1"/>
  <c r="L121"/>
  <c r="K121" s="1"/>
  <c r="L120"/>
  <c r="K120" s="1"/>
  <c r="L119"/>
  <c r="K119" s="1"/>
  <c r="K118"/>
  <c r="K117"/>
  <c r="K116"/>
  <c r="O115"/>
  <c r="N115"/>
  <c r="M115"/>
  <c r="L115"/>
  <c r="K114"/>
  <c r="K113" s="1"/>
  <c r="O113"/>
  <c r="N113"/>
  <c r="M113"/>
  <c r="M112" s="1"/>
  <c r="L113"/>
  <c r="O112"/>
  <c r="K111"/>
  <c r="K110"/>
  <c r="O109"/>
  <c r="N109"/>
  <c r="M109"/>
  <c r="L109"/>
  <c r="O108"/>
  <c r="N108"/>
  <c r="M108"/>
  <c r="L108"/>
  <c r="K107"/>
  <c r="K106"/>
  <c r="K105" s="1"/>
  <c r="O105"/>
  <c r="N105"/>
  <c r="M105"/>
  <c r="L105"/>
  <c r="K104"/>
  <c r="K103" s="1"/>
  <c r="O103"/>
  <c r="N103"/>
  <c r="N102" s="1"/>
  <c r="M103"/>
  <c r="M102" s="1"/>
  <c r="L103"/>
  <c r="L102" s="1"/>
  <c r="O102"/>
  <c r="K101"/>
  <c r="K100"/>
  <c r="K99"/>
  <c r="K98" s="1"/>
  <c r="O98"/>
  <c r="N98"/>
  <c r="M98"/>
  <c r="L98"/>
  <c r="K97"/>
  <c r="O96"/>
  <c r="N96"/>
  <c r="M96"/>
  <c r="L96"/>
  <c r="K96"/>
  <c r="K95"/>
  <c r="K94" s="1"/>
  <c r="O94"/>
  <c r="N94"/>
  <c r="M94"/>
  <c r="L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O48"/>
  <c r="N48"/>
  <c r="M48"/>
  <c r="L48"/>
  <c r="K47"/>
  <c r="K46"/>
  <c r="K45" s="1"/>
  <c r="O45"/>
  <c r="N45"/>
  <c r="N44" s="1"/>
  <c r="M45"/>
  <c r="L45"/>
  <c r="O44"/>
  <c r="M44"/>
  <c r="K42"/>
  <c r="K41"/>
  <c r="K40" s="1"/>
  <c r="K39" s="1"/>
  <c r="O40"/>
  <c r="N40"/>
  <c r="N39" s="1"/>
  <c r="M40"/>
  <c r="L40"/>
  <c r="L39" s="1"/>
  <c r="O39"/>
  <c r="M39"/>
  <c r="K38"/>
  <c r="K37" s="1"/>
  <c r="K36" s="1"/>
  <c r="O37"/>
  <c r="N37"/>
  <c r="M37"/>
  <c r="L37"/>
  <c r="O36"/>
  <c r="N36"/>
  <c r="M36"/>
  <c r="L36"/>
  <c r="K35"/>
  <c r="K34" s="1"/>
  <c r="O34"/>
  <c r="N34"/>
  <c r="M34"/>
  <c r="L34"/>
  <c r="K33"/>
  <c r="K32" s="1"/>
  <c r="O32"/>
  <c r="N32"/>
  <c r="M32"/>
  <c r="L32"/>
  <c r="K31"/>
  <c r="K30" s="1"/>
  <c r="O30"/>
  <c r="N30"/>
  <c r="M30"/>
  <c r="L30"/>
  <c r="K29"/>
  <c r="K28"/>
  <c r="K27"/>
  <c r="K26"/>
  <c r="K25"/>
  <c r="K24"/>
  <c r="K23"/>
  <c r="K22"/>
  <c r="O21"/>
  <c r="N21"/>
  <c r="M21"/>
  <c r="L21"/>
  <c r="K20"/>
  <c r="K19"/>
  <c r="K18"/>
  <c r="K17"/>
  <c r="O16"/>
  <c r="N16"/>
  <c r="M16"/>
  <c r="L16"/>
  <c r="G123"/>
  <c r="G118"/>
  <c r="F118" s="1"/>
  <c r="G122"/>
  <c r="F122" s="1"/>
  <c r="G121"/>
  <c r="G120"/>
  <c r="F120" s="1"/>
  <c r="G119"/>
  <c r="G117"/>
  <c r="F117" s="1"/>
  <c r="G57"/>
  <c r="D160"/>
  <c r="F164"/>
  <c r="D76"/>
  <c r="F26"/>
  <c r="F25"/>
  <c r="D136"/>
  <c r="F35"/>
  <c r="F34" s="1"/>
  <c r="J34"/>
  <c r="I34"/>
  <c r="H34"/>
  <c r="G34"/>
  <c r="D34"/>
  <c r="D88"/>
  <c r="D74"/>
  <c r="D71"/>
  <c r="D78"/>
  <c r="D77"/>
  <c r="D85"/>
  <c r="D87"/>
  <c r="D86"/>
  <c r="D84"/>
  <c r="D72"/>
  <c r="D73"/>
  <c r="D83"/>
  <c r="D89"/>
  <c r="D82"/>
  <c r="D81"/>
  <c r="D80"/>
  <c r="D79"/>
  <c r="D75"/>
  <c r="D58"/>
  <c r="D104"/>
  <c r="G160"/>
  <c r="G159" s="1"/>
  <c r="H160"/>
  <c r="I160"/>
  <c r="I159" s="1"/>
  <c r="J160"/>
  <c r="D159"/>
  <c r="F163"/>
  <c r="F162"/>
  <c r="F161"/>
  <c r="F95"/>
  <c r="F94" s="1"/>
  <c r="J94"/>
  <c r="I94"/>
  <c r="H94"/>
  <c r="G94"/>
  <c r="D94"/>
  <c r="D132"/>
  <c r="D101"/>
  <c r="F65"/>
  <c r="G61"/>
  <c r="J16"/>
  <c r="J21"/>
  <c r="J32"/>
  <c r="J30"/>
  <c r="J37"/>
  <c r="J36" s="1"/>
  <c r="J40"/>
  <c r="J39" s="1"/>
  <c r="J45"/>
  <c r="J48"/>
  <c r="J96"/>
  <c r="J98"/>
  <c r="J103"/>
  <c r="J105"/>
  <c r="J109"/>
  <c r="J108" s="1"/>
  <c r="J113"/>
  <c r="J115"/>
  <c r="J129"/>
  <c r="J135"/>
  <c r="J137"/>
  <c r="J134" s="1"/>
  <c r="J141"/>
  <c r="J140" s="1"/>
  <c r="J144"/>
  <c r="J143" s="1"/>
  <c r="J147"/>
  <c r="J150"/>
  <c r="J153"/>
  <c r="J152" s="1"/>
  <c r="J157"/>
  <c r="J156" s="1"/>
  <c r="J159"/>
  <c r="F61"/>
  <c r="F49"/>
  <c r="F50"/>
  <c r="F51"/>
  <c r="F52"/>
  <c r="F53"/>
  <c r="F54"/>
  <c r="F55"/>
  <c r="F56"/>
  <c r="F57"/>
  <c r="F58"/>
  <c r="F59"/>
  <c r="F60"/>
  <c r="F62"/>
  <c r="F63"/>
  <c r="F64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46"/>
  <c r="F47"/>
  <c r="F97"/>
  <c r="F96" s="1"/>
  <c r="F99"/>
  <c r="F100"/>
  <c r="F101"/>
  <c r="F17"/>
  <c r="F18"/>
  <c r="F19"/>
  <c r="F20"/>
  <c r="F22"/>
  <c r="F23"/>
  <c r="F24"/>
  <c r="F27"/>
  <c r="F28"/>
  <c r="F29"/>
  <c r="F33"/>
  <c r="F32" s="1"/>
  <c r="F31"/>
  <c r="F30" s="1"/>
  <c r="F38"/>
  <c r="F37" s="1"/>
  <c r="F36" s="1"/>
  <c r="F41"/>
  <c r="F42"/>
  <c r="F40" s="1"/>
  <c r="F39" s="1"/>
  <c r="F104"/>
  <c r="F103" s="1"/>
  <c r="F106"/>
  <c r="F107"/>
  <c r="F110"/>
  <c r="F111"/>
  <c r="G114"/>
  <c r="F114" s="1"/>
  <c r="F113" s="1"/>
  <c r="F116"/>
  <c r="F119"/>
  <c r="F121"/>
  <c r="F123"/>
  <c r="F124"/>
  <c r="F125"/>
  <c r="F126"/>
  <c r="G127"/>
  <c r="F127" s="1"/>
  <c r="F128"/>
  <c r="F130"/>
  <c r="F131"/>
  <c r="F132"/>
  <c r="F133"/>
  <c r="F136"/>
  <c r="F135" s="1"/>
  <c r="F138"/>
  <c r="F139"/>
  <c r="F137" s="1"/>
  <c r="F142"/>
  <c r="F141" s="1"/>
  <c r="F140" s="1"/>
  <c r="F145"/>
  <c r="F144" s="1"/>
  <c r="F143" s="1"/>
  <c r="F148"/>
  <c r="F149"/>
  <c r="F151"/>
  <c r="F150" s="1"/>
  <c r="F154"/>
  <c r="F155"/>
  <c r="I158"/>
  <c r="F158" s="1"/>
  <c r="F157" s="1"/>
  <c r="F156" s="1"/>
  <c r="F165"/>
  <c r="I16"/>
  <c r="I21"/>
  <c r="I32"/>
  <c r="I30"/>
  <c r="I37"/>
  <c r="I36" s="1"/>
  <c r="I40"/>
  <c r="I39" s="1"/>
  <c r="I45"/>
  <c r="I48"/>
  <c r="I96"/>
  <c r="I98"/>
  <c r="I103"/>
  <c r="I105"/>
  <c r="I109"/>
  <c r="I108" s="1"/>
  <c r="I113"/>
  <c r="I115"/>
  <c r="I129"/>
  <c r="I135"/>
  <c r="I137"/>
  <c r="I141"/>
  <c r="I140" s="1"/>
  <c r="I144"/>
  <c r="I143" s="1"/>
  <c r="I147"/>
  <c r="I150"/>
  <c r="I153"/>
  <c r="I152" s="1"/>
  <c r="G48"/>
  <c r="G45"/>
  <c r="G96"/>
  <c r="G98"/>
  <c r="G16"/>
  <c r="G21"/>
  <c r="G32"/>
  <c r="G30"/>
  <c r="G37"/>
  <c r="G36" s="1"/>
  <c r="G40"/>
  <c r="G39" s="1"/>
  <c r="G103"/>
  <c r="G105"/>
  <c r="G102" s="1"/>
  <c r="G109"/>
  <c r="G108" s="1"/>
  <c r="G113"/>
  <c r="G115"/>
  <c r="G129"/>
  <c r="G135"/>
  <c r="G137"/>
  <c r="G141"/>
  <c r="G140" s="1"/>
  <c r="G144"/>
  <c r="G143" s="1"/>
  <c r="G147"/>
  <c r="G150"/>
  <c r="G146" s="1"/>
  <c r="G153"/>
  <c r="G152" s="1"/>
  <c r="G157"/>
  <c r="G156" s="1"/>
  <c r="D48"/>
  <c r="D46"/>
  <c r="D45" s="1"/>
  <c r="D97"/>
  <c r="D96" s="1"/>
  <c r="D100"/>
  <c r="D98" s="1"/>
  <c r="D18"/>
  <c r="D16" s="1"/>
  <c r="D21"/>
  <c r="D32"/>
  <c r="D30"/>
  <c r="D37"/>
  <c r="D36" s="1"/>
  <c r="D41"/>
  <c r="D42"/>
  <c r="D43"/>
  <c r="D103"/>
  <c r="D106"/>
  <c r="D107"/>
  <c r="D109"/>
  <c r="D108" s="1"/>
  <c r="D113"/>
  <c r="D124"/>
  <c r="D115" s="1"/>
  <c r="D131"/>
  <c r="D133"/>
  <c r="D135"/>
  <c r="D138"/>
  <c r="D139"/>
  <c r="D137" s="1"/>
  <c r="D141"/>
  <c r="D140" s="1"/>
  <c r="D144"/>
  <c r="D143" s="1"/>
  <c r="D148"/>
  <c r="D149"/>
  <c r="D151"/>
  <c r="D150" s="1"/>
  <c r="D155"/>
  <c r="D153" s="1"/>
  <c r="D152" s="1"/>
  <c r="D157"/>
  <c r="D156" s="1"/>
  <c r="H16"/>
  <c r="H115"/>
  <c r="H113"/>
  <c r="H129"/>
  <c r="H48"/>
  <c r="H45"/>
  <c r="H96"/>
  <c r="H98"/>
  <c r="H21"/>
  <c r="H32"/>
  <c r="H30"/>
  <c r="H37"/>
  <c r="H36" s="1"/>
  <c r="H40"/>
  <c r="H39" s="1"/>
  <c r="H103"/>
  <c r="H105"/>
  <c r="H102" s="1"/>
  <c r="H109"/>
  <c r="H108" s="1"/>
  <c r="H135"/>
  <c r="H137"/>
  <c r="H141"/>
  <c r="H140" s="1"/>
  <c r="H144"/>
  <c r="H143" s="1"/>
  <c r="H147"/>
  <c r="H150"/>
  <c r="H146"/>
  <c r="H153"/>
  <c r="H152"/>
  <c r="H157"/>
  <c r="H156"/>
  <c r="H159"/>
  <c r="G112" l="1"/>
  <c r="I146"/>
  <c r="I102"/>
  <c r="F105"/>
  <c r="F129"/>
  <c r="N15"/>
  <c r="N112"/>
  <c r="H112"/>
  <c r="D105"/>
  <c r="D102" s="1"/>
  <c r="I112"/>
  <c r="F134"/>
  <c r="F109"/>
  <c r="F108" s="1"/>
  <c r="F16"/>
  <c r="F45"/>
  <c r="J112"/>
  <c r="F160"/>
  <c r="F159" s="1"/>
  <c r="M15"/>
  <c r="M166" s="1"/>
  <c r="O15"/>
  <c r="O166" s="1"/>
  <c r="K102"/>
  <c r="E15"/>
  <c r="E166" s="1"/>
  <c r="K160"/>
  <c r="K159" s="1"/>
  <c r="L112"/>
  <c r="K115"/>
  <c r="K112" s="1"/>
  <c r="K109"/>
  <c r="K108" s="1"/>
  <c r="K48"/>
  <c r="K44" s="1"/>
  <c r="L44"/>
  <c r="L15"/>
  <c r="K21"/>
  <c r="K16"/>
  <c r="N166"/>
  <c r="F115"/>
  <c r="F112" s="1"/>
  <c r="D134"/>
  <c r="D15"/>
  <c r="F98"/>
  <c r="F44" s="1"/>
  <c r="F48"/>
  <c r="J44"/>
  <c r="H134"/>
  <c r="H44"/>
  <c r="H15"/>
  <c r="D147"/>
  <c r="D146" s="1"/>
  <c r="D129"/>
  <c r="D112" s="1"/>
  <c r="D40"/>
  <c r="D39" s="1"/>
  <c r="G134"/>
  <c r="G15"/>
  <c r="G44"/>
  <c r="I157"/>
  <c r="I156" s="1"/>
  <c r="I134"/>
  <c r="I44"/>
  <c r="I166" s="1"/>
  <c r="I15"/>
  <c r="F153"/>
  <c r="F152" s="1"/>
  <c r="F147"/>
  <c r="F146" s="1"/>
  <c r="F102"/>
  <c r="J146"/>
  <c r="J102"/>
  <c r="J15"/>
  <c r="F21"/>
  <c r="F15" s="1"/>
  <c r="H166"/>
  <c r="D44"/>
  <c r="G166"/>
  <c r="J166"/>
  <c r="L166" l="1"/>
  <c r="K15"/>
  <c r="K166" s="1"/>
  <c r="D166"/>
  <c r="F166"/>
</calcChain>
</file>

<file path=xl/sharedStrings.xml><?xml version="1.0" encoding="utf-8"?>
<sst xmlns="http://schemas.openxmlformats.org/spreadsheetml/2006/main" count="254" uniqueCount="217">
  <si>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</si>
  <si>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</si>
  <si>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</si>
  <si>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</si>
  <si>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</si>
  <si>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</si>
  <si>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</si>
  <si>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Informatyzacja Zarządu Melioracji i Urządzeń Wodnych w Olsztynie</t>
  </si>
  <si>
    <t>środki pochodzące ze środków UE</t>
  </si>
  <si>
    <t xml:space="preserve">środki własne                   </t>
  </si>
  <si>
    <t>Rolnictwo i łowiectwo</t>
  </si>
  <si>
    <t>01006</t>
  </si>
  <si>
    <t>Dokumentacja przyszłościowa i inne pilne opracowania projektowe, operaty wodno-prawne oraz koszty obsługi realizowanych zadań (nadzory autorskie i specjalistyczne itp.)</t>
  </si>
  <si>
    <t>dotacje z budżetu państwa</t>
  </si>
  <si>
    <t>Melioracje wodne - wydatki majątkowe (inwestycyjne)</t>
  </si>
  <si>
    <t>Program Rozwoju Obszarów Wiejskich 2007-2013</t>
  </si>
  <si>
    <t>Zakup kosiarki pływającej</t>
  </si>
  <si>
    <t>Wydatki na zakupy inwestycyjne</t>
  </si>
  <si>
    <t>Urząd Marszałkowski</t>
  </si>
  <si>
    <t>01041</t>
  </si>
  <si>
    <t>Nazwa zadania inwestycyjnego 
realizowanego w 2011 roku</t>
  </si>
  <si>
    <t>050</t>
  </si>
  <si>
    <t>05011</t>
  </si>
  <si>
    <t>150</t>
  </si>
  <si>
    <t>15013</t>
  </si>
  <si>
    <t>Monitoring RIS Warmia Mazury</t>
  </si>
  <si>
    <t>Program Operacyjny Kapitał Ludzki</t>
  </si>
  <si>
    <t>600</t>
  </si>
  <si>
    <t>60001</t>
  </si>
  <si>
    <t>Usługa leasingu finansowego 3 szt. dwuczłonowych autobusów szynowych</t>
  </si>
  <si>
    <t>60013</t>
  </si>
  <si>
    <t>Budowa chodnika w ciągu drogi nr 656 w Zelkach (2011)</t>
  </si>
  <si>
    <t>Budowa kładki dla pieszych w ciągu drogi nr 542 w msc. Burkat (2011)</t>
  </si>
  <si>
    <t>Docieplenie pomieszczeń biurowych</t>
  </si>
  <si>
    <t>Dokumentacje techniczne (2011-2013)</t>
  </si>
  <si>
    <t>Przebudowa dwóch przepustów w ciągu drogi nr 604 koło Wichrowca (2011)</t>
  </si>
  <si>
    <t>Przebudowa mostu na przepust w ciągu drogi nr 604 koło Wichrowca (2011)</t>
  </si>
  <si>
    <t>Przebudowa przepustu betonowego na stalowy w ciągu drogi nr 651 koło msc. Przesławki (2011)</t>
  </si>
  <si>
    <t>Przebudowa przepustu kamienno-ceglanego na stalowy w ciągu drogi nr 651 w Zawiszynie (2011)</t>
  </si>
  <si>
    <t>Przebudowa przepustu kamienno-płytowego na stalowy w ciągu drogi nr 604 koło Jagarzewa (2011)</t>
  </si>
  <si>
    <t>Przebudowa trzech przepustów w ciągu drogi nr 604 koło Puchałowa (2011)</t>
  </si>
  <si>
    <t>Rozbiórka wiaduktu w Morągu w ciągu drogi nr 527 (2011)</t>
  </si>
  <si>
    <t>Wykonanie klimatyzacji w pomieszczeniach RDW Kętrzyn, Nidzica, Olecko i ZDW Olsztyn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</si>
  <si>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</si>
  <si>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</si>
  <si>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</si>
  <si>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</si>
  <si>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</si>
  <si>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</si>
  <si>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526 na odcinku Śliwica - Kąty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</si>
  <si>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</si>
  <si>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</si>
  <si>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</si>
  <si>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</si>
  <si>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</si>
  <si>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</si>
  <si>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</si>
  <si>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</si>
  <si>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</si>
  <si>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</si>
  <si>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Sieć Szerokopasmowa Polski Wschodniej</t>
  </si>
  <si>
    <t>60095</t>
  </si>
  <si>
    <t>Data Center "Wrota Warmii i Mazur" Cyfrowy Urząd</t>
  </si>
  <si>
    <t>630</t>
  </si>
  <si>
    <t>63001</t>
  </si>
  <si>
    <t>Modernizacja i rozbudowa regionalnego systemu informacji turystycznej</t>
  </si>
  <si>
    <t>63003</t>
  </si>
  <si>
    <t>Trasy rowerowe</t>
  </si>
  <si>
    <t>Portal turystyczny Warmia - Mazury</t>
  </si>
  <si>
    <t>700</t>
  </si>
  <si>
    <t>70005</t>
  </si>
  <si>
    <t>Zakup nieruchomości, w trybie kodeksu cywilnego, na potrzeby budowy lub modernizacji dróg wojewódzkich</t>
  </si>
  <si>
    <t>750</t>
  </si>
  <si>
    <t>75018</t>
  </si>
  <si>
    <t>75017</t>
  </si>
  <si>
    <t>Centrala telefoniczna</t>
  </si>
  <si>
    <t>Sprzęt komputerowy</t>
  </si>
  <si>
    <t>System archiwizacji danych</t>
  </si>
  <si>
    <t>Zakup samochodu osobowego</t>
  </si>
  <si>
    <t>75095</t>
  </si>
  <si>
    <t xml:space="preserve">Pomoc Techniczna  </t>
  </si>
  <si>
    <t>Profesjonalny Urząd Administracji Samorządowej</t>
  </si>
  <si>
    <t>801</t>
  </si>
  <si>
    <t>80130</t>
  </si>
  <si>
    <t>Dialog bez barier-transgranicznych inicjatywa rozwoju nowych form kształcenia połączona z modernizacją infrastruktury edukacyjnej partnerów projektu</t>
  </si>
  <si>
    <t>e-Pedagogiczne Centrum Informacji Edukacyjnej Warmii i Mazur</t>
  </si>
  <si>
    <t>80147</t>
  </si>
  <si>
    <t>851</t>
  </si>
  <si>
    <t>85154</t>
  </si>
  <si>
    <t>Zakupy inwestycyjne na potrzeby Biura ds. Uzależnień oraz związane ze wspieraniem innych jednostek na zasadzie użyczenia</t>
  </si>
  <si>
    <t>852</t>
  </si>
  <si>
    <t>85212</t>
  </si>
  <si>
    <t>853</t>
  </si>
  <si>
    <t>85332</t>
  </si>
  <si>
    <t>Program Operacyjny Kapitał Ludzki Pomoc Techniczna</t>
  </si>
  <si>
    <t>85395</t>
  </si>
  <si>
    <t>854</t>
  </si>
  <si>
    <t>85410</t>
  </si>
  <si>
    <t>Dobudowa kuchni i jadalni przy obiekcie internatu</t>
  </si>
  <si>
    <t>Rewitalizacja zabytkowego budynku Internatu przy ulicy Mariańskiej 3 w Olsztynie</t>
  </si>
  <si>
    <t>900</t>
  </si>
  <si>
    <t>90002</t>
  </si>
  <si>
    <t>Likwidacja składowisk odpadów niebezpiecznych zawierających odpady niebezpieczne zlokalizowanych na terenie województwa warmińsko-mazurskiego</t>
  </si>
  <si>
    <t>925</t>
  </si>
  <si>
    <t>92502</t>
  </si>
  <si>
    <t>Zakup projektora multimedialnego</t>
  </si>
  <si>
    <t xml:space="preserve">Zespół Parków Krajobrazowych Pojezierza Iławskiego i Wzgórz Dylewskich </t>
  </si>
  <si>
    <t>Zarządy melioracji i urządzeń wodnych</t>
  </si>
  <si>
    <t>Melioracje wodne</t>
  </si>
  <si>
    <t>Rybołówstwo i rybactwo</t>
  </si>
  <si>
    <t>Przetwórstwo przemysłowe</t>
  </si>
  <si>
    <t>Rozwój kadr nowoczesnej gospodarki i przedsiębiorczości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</si>
  <si>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</si>
  <si>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</si>
  <si>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</si>
  <si>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</si>
  <si>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</si>
  <si>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Turystyka</t>
  </si>
  <si>
    <t>Ośrodki informacji turystycznej</t>
  </si>
  <si>
    <t>Zadania w zakresie upowszechniania turystyki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</si>
  <si>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</si>
  <si>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</si>
  <si>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</si>
  <si>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</si>
  <si>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</si>
  <si>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Oświata i wychowanie</t>
  </si>
  <si>
    <t>Szkoły zawodowe</t>
  </si>
  <si>
    <t>Biblioteki pedagogiczne</t>
  </si>
  <si>
    <t>Ochrona zdrowia</t>
  </si>
  <si>
    <t>Przeciwdziałanie alkoholizmowi</t>
  </si>
  <si>
    <t>Pomoc społeczna</t>
  </si>
  <si>
    <t>Pozostałe zadania w zakresie polityki społecznej</t>
  </si>
  <si>
    <t>Wojewódzkie urzędy pracy</t>
  </si>
  <si>
    <t>Edukacyjna opieka wychowawcza</t>
  </si>
  <si>
    <t>Internaty i bursy szkolne</t>
  </si>
  <si>
    <t>Gospodarka komunalna i ochrona środowiska</t>
  </si>
  <si>
    <t>Gospodarka odpadami</t>
  </si>
  <si>
    <t>Parki krajobrazowe</t>
  </si>
  <si>
    <t>01042</t>
  </si>
  <si>
    <t>Wyłączenie z produkcji gruntów rolnych</t>
  </si>
  <si>
    <t>w zł</t>
  </si>
  <si>
    <t>Dz.</t>
  </si>
  <si>
    <t>Wykonanie klimatyzacji w budynku Zarządu Melioracji 
i Urządzeń Wodnych w Olsztynie</t>
  </si>
  <si>
    <t>Modernizacja części poddasza budynku przy ul. Wojska Polskiego 1 - roboty dodatkowe</t>
  </si>
  <si>
    <t>Przebudowa przepustu k/m. Jeziorany w ciągu drogi nr 593</t>
  </si>
  <si>
    <t>Zakup dwóch szt. zmodernizowanych elektrycznych zespołów trakcyjnych</t>
  </si>
  <si>
    <t>60014</t>
  </si>
  <si>
    <t>Drogi publiczne powiatowe</t>
  </si>
  <si>
    <t>Przebudowa chodników w obrębie starówki Miasta Reszel</t>
  </si>
  <si>
    <t>Doposażenie sali edukacyjnej Welskiego Parku Krajobrazowego</t>
  </si>
  <si>
    <t>Doposażenie służby Welskiego Parku Krajobrazowego</t>
  </si>
  <si>
    <t>Czynna ochrona na obszarach prawnie chronionych</t>
  </si>
  <si>
    <t>01095</t>
  </si>
  <si>
    <t>Wykupy gruntów zajętych pod wodami płynącymi</t>
  </si>
  <si>
    <t>Wykonanie dokumentacji w ramach projektu "Kompleksowe zabezpieczenie przeciwpowodziowe Żuław - Etap I - Żuławski Zarząd Melioracji i Urządzeń Wodnych w Elblągu"</t>
  </si>
  <si>
    <t xml:space="preserve">Program Rozwoju Obszarów Wiejskich 2007-2013 </t>
  </si>
  <si>
    <t>Sprzęt drukująco-kopiujący</t>
  </si>
  <si>
    <t>Opracowanie dokumentacji projektowej w tym programu funkcjonalno-użytkowego i remont pomieszczeń ul. Głowackiego 17</t>
  </si>
  <si>
    <t>Program Współpracy Transgranicznej Litwa-Polska-Rosja 
2007-2013</t>
  </si>
  <si>
    <t xml:space="preserve">Modernizacja i wyposażenie laboratorium anatomicznego, sali medyczno-higienicznej oraz sali propedeutyki stomatologicznej 
w Szkole Policealnej im. Jadwigi Romanowskiej w Elblągu </t>
  </si>
  <si>
    <t>Wydatki na zakupy inwestycyjne, w tym: zakup i instalacja sprzętu komputerowego i oprogramowania, drukarek w ramach PROW 
2007-2013</t>
  </si>
  <si>
    <t>Przebudowa drogi wojewódzkiej nr 591 na odcinku 
Kętrzyn - Mrągowo</t>
  </si>
  <si>
    <t>Rozbudowa drogi wojewódzkiej nr 527 na odcinku Rychliki - Jelonki (2010-2012)</t>
  </si>
  <si>
    <t>Rozbudowa drogi wojewódzkiej nr 650 na odcinku Banie Mazurskie - Boćwinka i Grabowo - Gołdap wraz ze wschodnim wylotem Gołdapi (ul. Paderewskiego)</t>
  </si>
  <si>
    <t>Pomoc Techniczna - Funkcjonowanie filii Wspólnego Sekretariatu Technicznego Programu w Urzędzie Marszałkowskim Woj. W-M</t>
  </si>
  <si>
    <t>Funkcjonowanie Regionalnego Punktu Kontaktowego Programu Litwa-Polska w Urzędzie Marszałkowskim Woj. W-M</t>
  </si>
  <si>
    <t>Grono Menadżerów 2 - sieć współpracy i wymiany informacji między naukowcami a przedsiębiorcami w województwie warmińsko-mazurskim</t>
  </si>
  <si>
    <t>Park Krajobrazowy Wysoczyzny Elbląskiej 
w Elblągu</t>
  </si>
  <si>
    <t>Szkoła Policealna 
w Olsztynie</t>
  </si>
  <si>
    <t>Biblioteka Pedagogiczna 
w Olsztynie</t>
  </si>
  <si>
    <t>Biblioteka Pedagogiczna 
w Elblągu</t>
  </si>
  <si>
    <t>Szkoła Policealna 
w Elblągu</t>
  </si>
  <si>
    <t>Zarząd Melioracji 
i Urządzeń Wodnych 
w Olsztynie</t>
  </si>
  <si>
    <t>Tabela Nr 3</t>
  </si>
  <si>
    <t>Rok 
budżetowy 2011
(7 do 10)</t>
  </si>
  <si>
    <t>Wykonanie                       (12 do 15)</t>
  </si>
  <si>
    <t>Wykup gruntów zajętych pod urządzenia melioracji wodnych wraz z kosztami towarzyszącymi</t>
  </si>
  <si>
    <t>Program Współpracy Transgranicznej Litwa-Polska-Rosja 2007-2013</t>
  </si>
  <si>
    <t>Przebudowa skrzyżowania wraz z budową chodnika przy ul. Kopernika w ciągu drogi nr 593 w Miłakowie (2011)</t>
  </si>
  <si>
    <t>Przebudowa trzech przepustów w ciągu drogi nr 542 koło msc. Uzdowo i Filice (2011)</t>
  </si>
  <si>
    <t>Rozbudowa drogi wojewódzkiej nr 650 na odcinku Węgorzewo (od skrzyżowania z drogą krajową nr 63) - Banie Mazurskie wraz z m. Banie Mazurskie</t>
  </si>
  <si>
    <t>Rozbudowa skrzyżowania ulic Dąbrowskiego (droga 519) i 3 Maja (droga 527) w Morągu wraz z odcinkiem ul. Dąbrowskiego (2010-2011)</t>
  </si>
  <si>
    <t>Modernizacja i rozbudowa Centrum Zarządzania Siecią w Urzędzie Marszałkowskim Województwa Warmińsko-Mazurskiego w Olsztynie</t>
  </si>
  <si>
    <t>Remont/modernizacja budynku Urzędu Marszałkowskiego przy ul. Głowackiego 17</t>
  </si>
  <si>
    <t>Wojewódzki Urząd Pracy w Olsztynie</t>
  </si>
  <si>
    <t>Zespół Szkół z Ukraińskim Językiem Nauczania w Górowie Iławeckim</t>
  </si>
  <si>
    <t>Żuławski Zarząd Melioracji i Urządzeń Wodnych w Elblągu</t>
  </si>
  <si>
    <t>Welski Park Krajobrazowy 
w Jeleniu</t>
  </si>
  <si>
    <t>Zarząd Dróg Wojewódzkich 
w Olsztynie</t>
  </si>
  <si>
    <t>Zarząd Melioracji i Urządzeń Wodnych 
w Olsztynie</t>
  </si>
  <si>
    <t>Roboty budowlane - Wykonanie czynności naprawczych rurociągu na rzece Struga Orzyc Duży na odcinku 0+000-0+270, gm. Barczewo, woj. warmińsko-mazurskie</t>
  </si>
  <si>
    <t>Zakup komputerów i laptopów z oprogramowaniem, sprzętu drukarskiego, aparatu, fotograficznego, rzutnika multimedialnego i innych środków trwałych o wartości powyżej 3.500 zł</t>
  </si>
  <si>
    <t>Program Operacyjny Zrównoważony rozwój sektora rybołówstwa i nadbrzeżnych obszarów rybackich 
2007-2013</t>
  </si>
  <si>
    <t>Budowa chodnika i zatoki autobusowej w ciągu drogi nr 527 w msc. Krosno (2011)</t>
  </si>
  <si>
    <t>Budowa chodnika i zatoki autobusowej w ciągu drogi nr 504 w msc. Piastowo  (2011)</t>
  </si>
  <si>
    <t>Budowa ciągu pieszo-rowerowego od m. Olecko do Terenów Aktywności Gospodarczej - ul. Kościuszki, w ciągu drogi nr 655 (2009-2012)</t>
  </si>
  <si>
    <t>Budowa i przebudowa chodnika przy ul. Kościuszki w Biskupcu w ciągu drogi nr 596 (2011)</t>
  </si>
  <si>
    <t>Budowa chodnika i zatoki autobusowej w ciągu drogi nr 504 w msc. Pogrodzie (2011)</t>
  </si>
  <si>
    <t>Przebudowa dwóch przepustów w ciągu drogi nr 544 koło msc. Mansfeldy i Kraszewo (2011)</t>
  </si>
  <si>
    <t>Rozbiórka starego i budowa nowego mostu w ciągu drogi nr 508 w msc. Rekownica (2010-2011</t>
  </si>
  <si>
    <t>Rozbudowa drogi wojewódzkiej nr 592 w ciągu ul. Kętrzyńskiej i Bohaterów Warszawy w m. Bartoszyce</t>
  </si>
  <si>
    <t>Przebudowa drogi, przepustu i kładki w m. Mostkowo w ciągu drogi nr 530 (2009-2011)</t>
  </si>
  <si>
    <t>Rozbudowa infrastruktury szerokopasmowego dostępu do internetu i sieci PIAP-ów w województwie warmińsko-mazurskim</t>
  </si>
  <si>
    <t>II rata za nieruchomość gruntową zabudowaną położoną w Olsztynie przy ul. GŁOWACKIEGO 17</t>
  </si>
  <si>
    <t>Kluczowe wyzwania dla województw Polski Wschodniej w przyszłym okresie programowania - analizy rozwoju sytuacji, plany adaptacji i stworzenie systemu stałej współpracy</t>
  </si>
  <si>
    <t>Modernizacja i przebudowa części poddasza budynku przy ul. Wojska Polskiego 1 w Elblągu z przeznaczeniem na Filię Warmińsko-Mazurskiego Biura Planowania Przestrzennego</t>
  </si>
  <si>
    <t>Świadczenia rodzinne, świadczenia z funduszu alimentacyjnego oraz składki na ubezpieczenia emerytalne i rentowe z ubezpieczenia społecznego</t>
  </si>
  <si>
    <t>Ogrody botaniczne i zoologiczne oraz naturalne obszary i obiekty chronionej przyrody</t>
  </si>
  <si>
    <t>Zakup oprogramowania do obsługi świadczeń rodzinnych i świadczeń z funduszu alimentacyjnego</t>
  </si>
  <si>
    <t>Planowane wydatki na inwestycje wieloletnie przewidziane do realizacji 
w 2011 roku</t>
  </si>
  <si>
    <t>Wykonanie wydatków na inwestycje wieloletnie przewidziane do realizacji 
w 2011 roku</t>
  </si>
  <si>
    <t>Planowane wydatki jednoroczne</t>
  </si>
  <si>
    <t>Wykonanie wydatków jednorocznych</t>
  </si>
  <si>
    <t>Modernizacja budynku siedziby Biura Regionalnego w Elblągu ul. Zacisze 18</t>
  </si>
  <si>
    <t>Modernizacja budynku siedziby Biura Regionalnego w Elblągu ul. Zacisze 18 - roboty dodatkowe</t>
  </si>
  <si>
    <t>Wykonanie wydatków na zadania inwestycyjne (roczne i wieloletnie) przewidziane do realizacji w 2011 roku na dzień 30.06.2011 r.</t>
  </si>
  <si>
    <t>OGÓŁEM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</si>
</sst>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10"/>
      <color rgb="FF00B05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2" fillId="2" borderId="0" xfId="0" applyNumberFormat="1" applyFont="1" applyFill="1" applyBorder="1" applyAlignment="1" applyProtection="1">
      <alignment horizontal="left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Alignment="1"/>
    <xf numFmtId="49" fontId="6" fillId="2" borderId="4" xfId="0" applyNumberFormat="1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vertical="center" wrapText="1"/>
    </xf>
    <xf numFmtId="3" fontId="6" fillId="4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top"/>
    </xf>
    <xf numFmtId="49" fontId="3" fillId="2" borderId="2" xfId="0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49" fontId="3" fillId="2" borderId="4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vertical="center" wrapText="1"/>
    </xf>
    <xf numFmtId="3" fontId="6" fillId="3" borderId="2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vertical="center"/>
    </xf>
    <xf numFmtId="3" fontId="3" fillId="6" borderId="2" xfId="0" applyNumberFormat="1" applyFont="1" applyFill="1" applyBorder="1" applyAlignment="1">
      <alignment horizontal="right"/>
    </xf>
    <xf numFmtId="0" fontId="3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6" borderId="2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top"/>
    </xf>
    <xf numFmtId="49" fontId="6" fillId="2" borderId="3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49" fontId="6" fillId="3" borderId="2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/>
    </xf>
    <xf numFmtId="0" fontId="6" fillId="3" borderId="1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top"/>
    </xf>
    <xf numFmtId="3" fontId="3" fillId="6" borderId="1" xfId="0" applyNumberFormat="1" applyFont="1" applyFill="1" applyBorder="1" applyAlignment="1">
      <alignment horizontal="right"/>
    </xf>
    <xf numFmtId="0" fontId="6" fillId="5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vertical="top" wrapText="1"/>
    </xf>
    <xf numFmtId="3" fontId="3" fillId="3" borderId="2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49" fontId="3" fillId="6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right"/>
    </xf>
    <xf numFmtId="3" fontId="7" fillId="2" borderId="2" xfId="0" applyNumberFormat="1" applyFont="1" applyFill="1" applyBorder="1" applyAlignment="1">
      <alignment horizontal="right"/>
    </xf>
    <xf numFmtId="3" fontId="7" fillId="6" borderId="2" xfId="0" applyNumberFormat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6" borderId="2" xfId="0" applyNumberFormat="1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top"/>
    </xf>
    <xf numFmtId="3" fontId="3" fillId="2" borderId="0" xfId="0" applyNumberFormat="1" applyFont="1" applyFill="1"/>
    <xf numFmtId="3" fontId="7" fillId="2" borderId="0" xfId="0" applyNumberFormat="1" applyFont="1" applyFill="1"/>
    <xf numFmtId="0" fontId="3" fillId="2" borderId="0" xfId="0" applyFont="1" applyFill="1" applyAlignment="1">
      <alignment vertical="top"/>
    </xf>
    <xf numFmtId="0" fontId="7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70"/>
  <sheetViews>
    <sheetView tabSelected="1" view="pageBreakPreview" zoomScale="90" zoomScaleNormal="100" zoomScaleSheetLayoutView="90" workbookViewId="0">
      <selection activeCell="C8" sqref="C8"/>
    </sheetView>
  </sheetViews>
  <sheetFormatPr defaultRowHeight="12.75"/>
  <cols>
    <col min="1" max="1" width="4.28515625" style="37" customWidth="1"/>
    <col min="2" max="2" width="7.140625" style="37" customWidth="1"/>
    <col min="3" max="3" width="47.28515625" style="105" customWidth="1"/>
    <col min="4" max="4" width="13.28515625" style="37" customWidth="1"/>
    <col min="5" max="5" width="13.140625" style="106" customWidth="1"/>
    <col min="6" max="6" width="11.28515625" style="37" customWidth="1"/>
    <col min="7" max="7" width="11.140625" style="37" customWidth="1"/>
    <col min="8" max="8" width="10.140625" style="37" customWidth="1"/>
    <col min="9" max="9" width="11.85546875" style="37" customWidth="1"/>
    <col min="10" max="10" width="12" style="37" customWidth="1"/>
    <col min="11" max="11" width="11.28515625" style="106" customWidth="1"/>
    <col min="12" max="12" width="11.42578125" style="106" customWidth="1"/>
    <col min="13" max="13" width="9.7109375" style="106" customWidth="1"/>
    <col min="14" max="14" width="12" style="106" customWidth="1"/>
    <col min="15" max="15" width="11.7109375" style="106" customWidth="1"/>
    <col min="16" max="16" width="18.140625" style="5" customWidth="1"/>
    <col min="17" max="17" width="9" style="37" customWidth="1"/>
    <col min="18" max="16384" width="9.140625" style="37"/>
  </cols>
  <sheetData>
    <row r="1" spans="1:50" s="1" customFormat="1">
      <c r="C1" s="2"/>
      <c r="J1" s="3"/>
      <c r="O1" s="3"/>
      <c r="P1" s="4"/>
    </row>
    <row r="2" spans="1:50" s="1" customFormat="1">
      <c r="C2" s="2"/>
      <c r="J2" s="3"/>
      <c r="O2" s="3"/>
      <c r="P2" s="5" t="s">
        <v>173</v>
      </c>
    </row>
    <row r="3" spans="1:50" s="1" customFormat="1">
      <c r="C3" s="2"/>
      <c r="J3" s="6"/>
      <c r="O3" s="6"/>
      <c r="P3" s="4"/>
    </row>
    <row r="4" spans="1:50" s="1" customFormat="1">
      <c r="C4" s="2"/>
      <c r="J4" s="6"/>
      <c r="O4" s="6"/>
      <c r="P4" s="4"/>
    </row>
    <row r="5" spans="1:50" s="1" customFormat="1">
      <c r="C5" s="2"/>
      <c r="J5" s="6"/>
      <c r="O5" s="6"/>
      <c r="P5" s="4"/>
    </row>
    <row r="6" spans="1:50" s="1" customFormat="1" ht="42" customHeight="1">
      <c r="A6" s="7" t="s">
        <v>215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50" s="1" customFormat="1">
      <c r="C7" s="2"/>
      <c r="P7" s="4"/>
    </row>
    <row r="8" spans="1:50" s="1" customFormat="1">
      <c r="C8" s="2"/>
      <c r="P8" s="4"/>
    </row>
    <row r="9" spans="1:50" s="1" customFormat="1">
      <c r="C9" s="2"/>
      <c r="P9" s="5" t="s">
        <v>140</v>
      </c>
    </row>
    <row r="10" spans="1:50" s="1" customFormat="1" ht="12.75" customHeight="1">
      <c r="A10" s="9" t="s">
        <v>141</v>
      </c>
      <c r="B10" s="9" t="s">
        <v>0</v>
      </c>
      <c r="C10" s="9" t="s">
        <v>20</v>
      </c>
      <c r="D10" s="9" t="s">
        <v>209</v>
      </c>
      <c r="E10" s="9" t="s">
        <v>210</v>
      </c>
      <c r="F10" s="10" t="s">
        <v>211</v>
      </c>
      <c r="G10" s="10"/>
      <c r="H10" s="10"/>
      <c r="I10" s="10"/>
      <c r="J10" s="10"/>
      <c r="K10" s="11" t="s">
        <v>212</v>
      </c>
      <c r="L10" s="12"/>
      <c r="M10" s="12"/>
      <c r="N10" s="12"/>
      <c r="O10" s="13"/>
      <c r="P10" s="9" t="s">
        <v>4</v>
      </c>
    </row>
    <row r="11" spans="1:50" s="15" customFormat="1" ht="18.75" customHeight="1">
      <c r="A11" s="14"/>
      <c r="B11" s="14"/>
      <c r="C11" s="14"/>
      <c r="D11" s="14"/>
      <c r="E11" s="14"/>
      <c r="F11" s="10" t="s">
        <v>1</v>
      </c>
      <c r="G11" s="10"/>
      <c r="H11" s="10"/>
      <c r="I11" s="10"/>
      <c r="J11" s="10"/>
      <c r="K11" s="10" t="s">
        <v>1</v>
      </c>
      <c r="L11" s="10"/>
      <c r="M11" s="10"/>
      <c r="N11" s="10"/>
      <c r="O11" s="10"/>
      <c r="P11" s="14"/>
    </row>
    <row r="12" spans="1:50" s="15" customFormat="1" ht="18.75" customHeight="1">
      <c r="A12" s="14"/>
      <c r="B12" s="14"/>
      <c r="C12" s="14"/>
      <c r="D12" s="14"/>
      <c r="E12" s="14"/>
      <c r="F12" s="14" t="s">
        <v>174</v>
      </c>
      <c r="G12" s="10" t="s">
        <v>2</v>
      </c>
      <c r="H12" s="10"/>
      <c r="I12" s="10"/>
      <c r="J12" s="10"/>
      <c r="K12" s="9" t="s">
        <v>175</v>
      </c>
      <c r="L12" s="10" t="s">
        <v>2</v>
      </c>
      <c r="M12" s="10"/>
      <c r="N12" s="10"/>
      <c r="O12" s="10"/>
      <c r="P12" s="14"/>
    </row>
    <row r="13" spans="1:50" s="15" customFormat="1" ht="60" customHeight="1">
      <c r="A13" s="16"/>
      <c r="B13" s="16"/>
      <c r="C13" s="16"/>
      <c r="D13" s="16"/>
      <c r="E13" s="16"/>
      <c r="F13" s="16"/>
      <c r="G13" s="17" t="s">
        <v>9</v>
      </c>
      <c r="H13" s="17" t="s">
        <v>13</v>
      </c>
      <c r="I13" s="17" t="s">
        <v>3</v>
      </c>
      <c r="J13" s="17" t="s">
        <v>8</v>
      </c>
      <c r="K13" s="16"/>
      <c r="L13" s="17" t="s">
        <v>9</v>
      </c>
      <c r="M13" s="17" t="s">
        <v>13</v>
      </c>
      <c r="N13" s="17" t="s">
        <v>3</v>
      </c>
      <c r="O13" s="17" t="s">
        <v>8</v>
      </c>
      <c r="P13" s="16"/>
    </row>
    <row r="14" spans="1:50" s="19" customFormat="1" ht="9" customHeight="1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8">
        <v>16</v>
      </c>
    </row>
    <row r="15" spans="1:50" s="24" customFormat="1" ht="14.25" customHeight="1">
      <c r="A15" s="20" t="s">
        <v>5</v>
      </c>
      <c r="B15" s="20"/>
      <c r="C15" s="21" t="s">
        <v>10</v>
      </c>
      <c r="D15" s="22">
        <f t="shared" ref="D15:J15" si="0">SUM(D16+D21+D32+D30+D34)</f>
        <v>37775000</v>
      </c>
      <c r="E15" s="22">
        <f t="shared" si="0"/>
        <v>3040897</v>
      </c>
      <c r="F15" s="22">
        <f t="shared" si="0"/>
        <v>2093460</v>
      </c>
      <c r="G15" s="22">
        <f t="shared" si="0"/>
        <v>398660</v>
      </c>
      <c r="H15" s="22">
        <f t="shared" si="0"/>
        <v>1290000</v>
      </c>
      <c r="I15" s="22">
        <f t="shared" si="0"/>
        <v>286800</v>
      </c>
      <c r="J15" s="22">
        <f t="shared" si="0"/>
        <v>118000</v>
      </c>
      <c r="K15" s="22">
        <f t="shared" ref="K15:O15" si="1">SUM(K16+K21+K32+K30+K34)</f>
        <v>190059</v>
      </c>
      <c r="L15" s="22">
        <f t="shared" si="1"/>
        <v>3690</v>
      </c>
      <c r="M15" s="22">
        <f t="shared" si="1"/>
        <v>186369</v>
      </c>
      <c r="N15" s="22">
        <f t="shared" si="1"/>
        <v>0</v>
      </c>
      <c r="O15" s="22">
        <f t="shared" si="1"/>
        <v>0</v>
      </c>
      <c r="P15" s="23"/>
    </row>
    <row r="16" spans="1:50" s="31" customFormat="1" ht="15.75" customHeight="1">
      <c r="A16" s="25"/>
      <c r="B16" s="26" t="s">
        <v>11</v>
      </c>
      <c r="C16" s="27" t="s">
        <v>107</v>
      </c>
      <c r="D16" s="28">
        <f t="shared" ref="D16:J16" si="2">SUM(D17:D20)</f>
        <v>4800000</v>
      </c>
      <c r="E16" s="28">
        <f t="shared" si="2"/>
        <v>0</v>
      </c>
      <c r="F16" s="28">
        <f t="shared" si="2"/>
        <v>200460</v>
      </c>
      <c r="G16" s="28">
        <f t="shared" si="2"/>
        <v>200460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ref="K16:O16" si="3">SUM(K17:K20)</f>
        <v>3690</v>
      </c>
      <c r="L16" s="28">
        <f t="shared" si="3"/>
        <v>3690</v>
      </c>
      <c r="M16" s="28">
        <f t="shared" si="3"/>
        <v>0</v>
      </c>
      <c r="N16" s="28">
        <f t="shared" si="3"/>
        <v>0</v>
      </c>
      <c r="O16" s="28">
        <f t="shared" si="3"/>
        <v>0</v>
      </c>
      <c r="P16" s="29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16" ht="27" customHeight="1">
      <c r="A17" s="32"/>
      <c r="B17" s="33"/>
      <c r="C17" s="34" t="s">
        <v>7</v>
      </c>
      <c r="D17" s="35">
        <v>0</v>
      </c>
      <c r="E17" s="35">
        <v>0</v>
      </c>
      <c r="F17" s="35">
        <f t="shared" ref="F17:F133" si="4">SUM(G17:J17)</f>
        <v>25000</v>
      </c>
      <c r="G17" s="35">
        <v>25000</v>
      </c>
      <c r="H17" s="35">
        <v>0</v>
      </c>
      <c r="I17" s="35">
        <v>0</v>
      </c>
      <c r="J17" s="35">
        <v>0</v>
      </c>
      <c r="K17" s="35">
        <f t="shared" ref="K17:K20" si="5">SUM(L17:O17)</f>
        <v>3690</v>
      </c>
      <c r="L17" s="35">
        <v>3690</v>
      </c>
      <c r="M17" s="35">
        <v>0</v>
      </c>
      <c r="N17" s="35">
        <v>0</v>
      </c>
      <c r="O17" s="35">
        <v>0</v>
      </c>
      <c r="P17" s="36" t="s">
        <v>172</v>
      </c>
    </row>
    <row r="18" spans="1:16" ht="29.25" customHeight="1">
      <c r="A18" s="32"/>
      <c r="B18" s="33"/>
      <c r="C18" s="38" t="s">
        <v>177</v>
      </c>
      <c r="D18" s="35">
        <f>4560000+240000</f>
        <v>4800000</v>
      </c>
      <c r="E18" s="35">
        <v>0</v>
      </c>
      <c r="F18" s="35">
        <f t="shared" si="4"/>
        <v>0</v>
      </c>
      <c r="G18" s="35">
        <v>0</v>
      </c>
      <c r="H18" s="35">
        <v>0</v>
      </c>
      <c r="I18" s="35">
        <v>0</v>
      </c>
      <c r="J18" s="35">
        <v>0</v>
      </c>
      <c r="K18" s="35">
        <f t="shared" si="5"/>
        <v>0</v>
      </c>
      <c r="L18" s="35">
        <v>0</v>
      </c>
      <c r="M18" s="35">
        <v>0</v>
      </c>
      <c r="N18" s="35">
        <v>0</v>
      </c>
      <c r="O18" s="35">
        <v>0</v>
      </c>
      <c r="P18" s="39"/>
    </row>
    <row r="19" spans="1:16" ht="29.25" customHeight="1">
      <c r="A19" s="32"/>
      <c r="B19" s="33"/>
      <c r="C19" s="38" t="s">
        <v>142</v>
      </c>
      <c r="D19" s="35">
        <v>0</v>
      </c>
      <c r="E19" s="35">
        <v>0</v>
      </c>
      <c r="F19" s="35">
        <f t="shared" si="4"/>
        <v>75460</v>
      </c>
      <c r="G19" s="35">
        <v>75460</v>
      </c>
      <c r="H19" s="35">
        <v>0</v>
      </c>
      <c r="I19" s="35">
        <v>0</v>
      </c>
      <c r="J19" s="35">
        <v>0</v>
      </c>
      <c r="K19" s="35">
        <f t="shared" si="5"/>
        <v>0</v>
      </c>
      <c r="L19" s="35">
        <v>0</v>
      </c>
      <c r="M19" s="35">
        <v>0</v>
      </c>
      <c r="N19" s="35">
        <v>0</v>
      </c>
      <c r="O19" s="35">
        <v>0</v>
      </c>
      <c r="P19" s="40"/>
    </row>
    <row r="20" spans="1:16" ht="54.75" customHeight="1">
      <c r="A20" s="32"/>
      <c r="B20" s="33"/>
      <c r="C20" s="38" t="s">
        <v>154</v>
      </c>
      <c r="D20" s="35">
        <v>0</v>
      </c>
      <c r="E20" s="35">
        <v>0</v>
      </c>
      <c r="F20" s="35">
        <f t="shared" si="4"/>
        <v>100000</v>
      </c>
      <c r="G20" s="35">
        <v>100000</v>
      </c>
      <c r="H20" s="35">
        <v>0</v>
      </c>
      <c r="I20" s="35">
        <v>0</v>
      </c>
      <c r="J20" s="35">
        <v>0</v>
      </c>
      <c r="K20" s="35">
        <f t="shared" si="5"/>
        <v>0</v>
      </c>
      <c r="L20" s="35">
        <v>0</v>
      </c>
      <c r="M20" s="35">
        <v>0</v>
      </c>
      <c r="N20" s="35">
        <v>0</v>
      </c>
      <c r="O20" s="35">
        <v>0</v>
      </c>
      <c r="P20" s="41" t="s">
        <v>186</v>
      </c>
    </row>
    <row r="21" spans="1:16" s="30" customFormat="1" ht="15.75" customHeight="1">
      <c r="A21" s="42"/>
      <c r="B21" s="43" t="s">
        <v>6</v>
      </c>
      <c r="C21" s="44" t="s">
        <v>108</v>
      </c>
      <c r="D21" s="45">
        <f t="shared" ref="D21:J21" si="6">SUM(D22:D29)</f>
        <v>32975000</v>
      </c>
      <c r="E21" s="45">
        <f t="shared" si="6"/>
        <v>3040897</v>
      </c>
      <c r="F21" s="45">
        <f>SUM(F22:F29)</f>
        <v>1600000</v>
      </c>
      <c r="G21" s="45">
        <f t="shared" si="6"/>
        <v>63200</v>
      </c>
      <c r="H21" s="45">
        <f t="shared" si="6"/>
        <v>1250000</v>
      </c>
      <c r="I21" s="45">
        <f t="shared" si="6"/>
        <v>286800</v>
      </c>
      <c r="J21" s="45">
        <f t="shared" si="6"/>
        <v>0</v>
      </c>
      <c r="K21" s="45">
        <f>SUM(K22:K29)</f>
        <v>186369</v>
      </c>
      <c r="L21" s="45">
        <f t="shared" ref="L21:O21" si="7">SUM(L22:L29)</f>
        <v>0</v>
      </c>
      <c r="M21" s="45">
        <f t="shared" si="7"/>
        <v>186369</v>
      </c>
      <c r="N21" s="45">
        <f t="shared" si="7"/>
        <v>0</v>
      </c>
      <c r="O21" s="45">
        <f t="shared" si="7"/>
        <v>0</v>
      </c>
      <c r="P21" s="46"/>
    </row>
    <row r="22" spans="1:16" s="49" customFormat="1" ht="23.25" customHeight="1">
      <c r="A22" s="32"/>
      <c r="B22" s="47"/>
      <c r="C22" s="34" t="s">
        <v>14</v>
      </c>
      <c r="D22" s="35">
        <v>0</v>
      </c>
      <c r="E22" s="35">
        <v>0</v>
      </c>
      <c r="F22" s="35">
        <f t="shared" ref="F22:F27" si="8">SUM(G22:J22)</f>
        <v>400000</v>
      </c>
      <c r="G22" s="35">
        <v>0</v>
      </c>
      <c r="H22" s="35">
        <v>400000</v>
      </c>
      <c r="I22" s="35">
        <v>0</v>
      </c>
      <c r="J22" s="35">
        <v>0</v>
      </c>
      <c r="K22" s="35">
        <f t="shared" ref="K22:K27" si="9">SUM(L22:O22)</f>
        <v>35020</v>
      </c>
      <c r="L22" s="35">
        <v>0</v>
      </c>
      <c r="M22" s="48">
        <v>35020</v>
      </c>
      <c r="N22" s="35">
        <v>0</v>
      </c>
      <c r="O22" s="35">
        <v>0</v>
      </c>
      <c r="P22" s="36" t="s">
        <v>189</v>
      </c>
    </row>
    <row r="23" spans="1:16" ht="21" customHeight="1">
      <c r="A23" s="32"/>
      <c r="B23" s="33"/>
      <c r="C23" s="50" t="s">
        <v>15</v>
      </c>
      <c r="D23" s="48">
        <v>15503000</v>
      </c>
      <c r="E23" s="48">
        <v>50410</v>
      </c>
      <c r="F23" s="48">
        <f t="shared" si="8"/>
        <v>0</v>
      </c>
      <c r="G23" s="48">
        <v>0</v>
      </c>
      <c r="H23" s="48">
        <v>0</v>
      </c>
      <c r="I23" s="48">
        <v>0</v>
      </c>
      <c r="J23" s="48">
        <v>0</v>
      </c>
      <c r="K23" s="48">
        <f t="shared" si="9"/>
        <v>0</v>
      </c>
      <c r="L23" s="48">
        <v>0</v>
      </c>
      <c r="M23" s="48">
        <v>0</v>
      </c>
      <c r="N23" s="48">
        <v>0</v>
      </c>
      <c r="O23" s="48">
        <v>0</v>
      </c>
      <c r="P23" s="39"/>
    </row>
    <row r="24" spans="1:16" ht="19.5" customHeight="1">
      <c r="A24" s="51"/>
      <c r="B24" s="51"/>
      <c r="C24" s="34" t="s">
        <v>16</v>
      </c>
      <c r="D24" s="48">
        <v>0</v>
      </c>
      <c r="E24" s="48">
        <v>0</v>
      </c>
      <c r="F24" s="48">
        <f t="shared" si="8"/>
        <v>350000</v>
      </c>
      <c r="G24" s="48">
        <v>63200</v>
      </c>
      <c r="H24" s="48">
        <v>0</v>
      </c>
      <c r="I24" s="48">
        <v>286800</v>
      </c>
      <c r="J24" s="48">
        <v>0</v>
      </c>
      <c r="K24" s="48">
        <f t="shared" si="9"/>
        <v>0</v>
      </c>
      <c r="L24" s="48">
        <v>0</v>
      </c>
      <c r="M24" s="48">
        <v>0</v>
      </c>
      <c r="N24" s="48">
        <v>0</v>
      </c>
      <c r="O24" s="48">
        <v>0</v>
      </c>
      <c r="P24" s="39"/>
    </row>
    <row r="25" spans="1:16" ht="53.25" customHeight="1">
      <c r="A25" s="51"/>
      <c r="B25" s="51"/>
      <c r="C25" s="52" t="s">
        <v>190</v>
      </c>
      <c r="D25" s="48">
        <v>0</v>
      </c>
      <c r="E25" s="48">
        <v>0</v>
      </c>
      <c r="F25" s="48">
        <f t="shared" si="8"/>
        <v>290000</v>
      </c>
      <c r="G25" s="48">
        <v>0</v>
      </c>
      <c r="H25" s="48">
        <v>290000</v>
      </c>
      <c r="I25" s="48">
        <v>0</v>
      </c>
      <c r="J25" s="48">
        <v>0</v>
      </c>
      <c r="K25" s="48">
        <f t="shared" si="9"/>
        <v>0</v>
      </c>
      <c r="L25" s="48">
        <v>0</v>
      </c>
      <c r="M25" s="48">
        <v>0</v>
      </c>
      <c r="N25" s="48">
        <v>0</v>
      </c>
      <c r="O25" s="48">
        <v>0</v>
      </c>
      <c r="P25" s="39"/>
    </row>
    <row r="26" spans="1:16" ht="17.25" customHeight="1">
      <c r="A26" s="51"/>
      <c r="B26" s="51"/>
      <c r="C26" s="52" t="s">
        <v>153</v>
      </c>
      <c r="D26" s="48">
        <v>0</v>
      </c>
      <c r="E26" s="48">
        <v>0</v>
      </c>
      <c r="F26" s="48">
        <f t="shared" si="8"/>
        <v>160000</v>
      </c>
      <c r="G26" s="48">
        <v>0</v>
      </c>
      <c r="H26" s="48">
        <v>160000</v>
      </c>
      <c r="I26" s="48">
        <v>0</v>
      </c>
      <c r="J26" s="48">
        <v>0</v>
      </c>
      <c r="K26" s="48">
        <f t="shared" si="9"/>
        <v>0</v>
      </c>
      <c r="L26" s="48">
        <v>0</v>
      </c>
      <c r="M26" s="48">
        <v>0</v>
      </c>
      <c r="N26" s="48">
        <v>0</v>
      </c>
      <c r="O26" s="48">
        <v>0</v>
      </c>
      <c r="P26" s="40"/>
    </row>
    <row r="27" spans="1:16" ht="51">
      <c r="A27" s="32"/>
      <c r="B27" s="33"/>
      <c r="C27" s="34" t="s">
        <v>12</v>
      </c>
      <c r="D27" s="35">
        <v>0</v>
      </c>
      <c r="E27" s="35">
        <v>0</v>
      </c>
      <c r="F27" s="35">
        <f t="shared" si="8"/>
        <v>300000</v>
      </c>
      <c r="G27" s="35">
        <v>0</v>
      </c>
      <c r="H27" s="35">
        <v>300000</v>
      </c>
      <c r="I27" s="35">
        <v>0</v>
      </c>
      <c r="J27" s="35">
        <v>0</v>
      </c>
      <c r="K27" s="35">
        <f t="shared" si="9"/>
        <v>148137</v>
      </c>
      <c r="L27" s="35">
        <v>0</v>
      </c>
      <c r="M27" s="35">
        <v>148137</v>
      </c>
      <c r="N27" s="35">
        <v>0</v>
      </c>
      <c r="O27" s="35">
        <v>0</v>
      </c>
      <c r="P27" s="36" t="s">
        <v>186</v>
      </c>
    </row>
    <row r="28" spans="1:16" ht="22.5" customHeight="1">
      <c r="A28" s="51"/>
      <c r="B28" s="51"/>
      <c r="C28" s="50" t="s">
        <v>15</v>
      </c>
      <c r="D28" s="53">
        <v>17472000</v>
      </c>
      <c r="E28" s="53">
        <v>2990487</v>
      </c>
      <c r="F28" s="53">
        <f t="shared" si="4"/>
        <v>0</v>
      </c>
      <c r="G28" s="53">
        <v>0</v>
      </c>
      <c r="H28" s="53">
        <v>0</v>
      </c>
      <c r="I28" s="53">
        <v>0</v>
      </c>
      <c r="J28" s="53">
        <v>0</v>
      </c>
      <c r="K28" s="53">
        <f t="shared" ref="K28:K29" si="10">SUM(L28:O28)</f>
        <v>0</v>
      </c>
      <c r="L28" s="53">
        <v>0</v>
      </c>
      <c r="M28" s="53">
        <v>0</v>
      </c>
      <c r="N28" s="53">
        <v>0</v>
      </c>
      <c r="O28" s="53">
        <v>0</v>
      </c>
      <c r="P28" s="39"/>
    </row>
    <row r="29" spans="1:16" ht="29.25" customHeight="1">
      <c r="A29" s="51"/>
      <c r="B29" s="54"/>
      <c r="C29" s="50" t="s">
        <v>176</v>
      </c>
      <c r="D29" s="53">
        <v>0</v>
      </c>
      <c r="E29" s="53">
        <v>0</v>
      </c>
      <c r="F29" s="53">
        <f t="shared" si="4"/>
        <v>100000</v>
      </c>
      <c r="G29" s="53">
        <v>0</v>
      </c>
      <c r="H29" s="53">
        <v>100000</v>
      </c>
      <c r="I29" s="53">
        <v>0</v>
      </c>
      <c r="J29" s="53">
        <v>0</v>
      </c>
      <c r="K29" s="53">
        <f t="shared" si="10"/>
        <v>3212</v>
      </c>
      <c r="L29" s="53">
        <v>0</v>
      </c>
      <c r="M29" s="53">
        <v>3212</v>
      </c>
      <c r="N29" s="53">
        <v>0</v>
      </c>
      <c r="O29" s="53">
        <v>0</v>
      </c>
      <c r="P29" s="40"/>
    </row>
    <row r="30" spans="1:16" s="30" customFormat="1" ht="15.75" customHeight="1">
      <c r="A30" s="55"/>
      <c r="B30" s="56" t="s">
        <v>19</v>
      </c>
      <c r="C30" s="57" t="s">
        <v>155</v>
      </c>
      <c r="D30" s="58">
        <f t="shared" ref="D30:O30" si="11">SUM(D31:D31)</f>
        <v>0</v>
      </c>
      <c r="E30" s="58">
        <f t="shared" si="11"/>
        <v>0</v>
      </c>
      <c r="F30" s="58">
        <f t="shared" si="11"/>
        <v>193000</v>
      </c>
      <c r="G30" s="58">
        <f t="shared" si="11"/>
        <v>35000</v>
      </c>
      <c r="H30" s="58">
        <f t="shared" si="11"/>
        <v>40000</v>
      </c>
      <c r="I30" s="58">
        <f t="shared" si="11"/>
        <v>0</v>
      </c>
      <c r="J30" s="58">
        <f t="shared" si="11"/>
        <v>118000</v>
      </c>
      <c r="K30" s="58">
        <f t="shared" si="11"/>
        <v>0</v>
      </c>
      <c r="L30" s="58">
        <f t="shared" si="11"/>
        <v>0</v>
      </c>
      <c r="M30" s="58">
        <f t="shared" si="11"/>
        <v>0</v>
      </c>
      <c r="N30" s="58">
        <f t="shared" si="11"/>
        <v>0</v>
      </c>
      <c r="O30" s="58">
        <f t="shared" si="11"/>
        <v>0</v>
      </c>
      <c r="P30" s="46"/>
    </row>
    <row r="31" spans="1:16" ht="39" customHeight="1">
      <c r="A31" s="51"/>
      <c r="B31" s="54"/>
      <c r="C31" s="50" t="s">
        <v>160</v>
      </c>
      <c r="D31" s="53">
        <v>0</v>
      </c>
      <c r="E31" s="53">
        <v>0</v>
      </c>
      <c r="F31" s="53">
        <f t="shared" si="4"/>
        <v>193000</v>
      </c>
      <c r="G31" s="53">
        <v>35000</v>
      </c>
      <c r="H31" s="53">
        <v>40000</v>
      </c>
      <c r="I31" s="53">
        <v>0</v>
      </c>
      <c r="J31" s="53">
        <v>118000</v>
      </c>
      <c r="K31" s="53">
        <f t="shared" ref="K31" si="12">SUM(L31:O31)</f>
        <v>0</v>
      </c>
      <c r="L31" s="53">
        <v>0</v>
      </c>
      <c r="M31" s="53">
        <v>0</v>
      </c>
      <c r="N31" s="53">
        <v>0</v>
      </c>
      <c r="O31" s="53">
        <v>0</v>
      </c>
      <c r="P31" s="59" t="s">
        <v>18</v>
      </c>
    </row>
    <row r="32" spans="1:16" s="30" customFormat="1" ht="15.75" customHeight="1">
      <c r="A32" s="55"/>
      <c r="B32" s="43" t="s">
        <v>138</v>
      </c>
      <c r="C32" s="44" t="s">
        <v>139</v>
      </c>
      <c r="D32" s="45">
        <f t="shared" ref="D32:O32" si="13">D33</f>
        <v>0</v>
      </c>
      <c r="E32" s="45">
        <f t="shared" si="13"/>
        <v>0</v>
      </c>
      <c r="F32" s="45">
        <f t="shared" si="13"/>
        <v>20000</v>
      </c>
      <c r="G32" s="45">
        <f t="shared" si="13"/>
        <v>20000</v>
      </c>
      <c r="H32" s="45">
        <f t="shared" si="13"/>
        <v>0</v>
      </c>
      <c r="I32" s="45">
        <f t="shared" si="13"/>
        <v>0</v>
      </c>
      <c r="J32" s="45">
        <f t="shared" si="13"/>
        <v>0</v>
      </c>
      <c r="K32" s="45">
        <f t="shared" si="13"/>
        <v>0</v>
      </c>
      <c r="L32" s="45">
        <f t="shared" si="13"/>
        <v>0</v>
      </c>
      <c r="M32" s="45">
        <f t="shared" si="13"/>
        <v>0</v>
      </c>
      <c r="N32" s="45">
        <f t="shared" si="13"/>
        <v>0</v>
      </c>
      <c r="O32" s="45">
        <f t="shared" si="13"/>
        <v>0</v>
      </c>
      <c r="P32" s="60"/>
    </row>
    <row r="33" spans="1:16" ht="29.25" customHeight="1">
      <c r="A33" s="54"/>
      <c r="B33" s="54"/>
      <c r="C33" s="61" t="s">
        <v>17</v>
      </c>
      <c r="D33" s="35">
        <v>0</v>
      </c>
      <c r="E33" s="35">
        <v>0</v>
      </c>
      <c r="F33" s="35">
        <f>SUM(G33:J33)</f>
        <v>20000</v>
      </c>
      <c r="G33" s="35">
        <v>20000</v>
      </c>
      <c r="H33" s="35">
        <v>0</v>
      </c>
      <c r="I33" s="35">
        <v>0</v>
      </c>
      <c r="J33" s="35">
        <v>0</v>
      </c>
      <c r="K33" s="35">
        <f>SUM(L33:O33)</f>
        <v>0</v>
      </c>
      <c r="L33" s="35">
        <v>0</v>
      </c>
      <c r="M33" s="35">
        <v>0</v>
      </c>
      <c r="N33" s="35">
        <v>0</v>
      </c>
      <c r="O33" s="35">
        <v>0</v>
      </c>
      <c r="P33" s="41" t="s">
        <v>18</v>
      </c>
    </row>
    <row r="34" spans="1:16" s="30" customFormat="1" ht="15.75" customHeight="1">
      <c r="A34" s="55"/>
      <c r="B34" s="56" t="s">
        <v>152</v>
      </c>
      <c r="C34" s="57" t="s">
        <v>116</v>
      </c>
      <c r="D34" s="58">
        <f t="shared" ref="D34:O34" si="14">D35</f>
        <v>0</v>
      </c>
      <c r="E34" s="58">
        <f t="shared" si="14"/>
        <v>0</v>
      </c>
      <c r="F34" s="58">
        <f t="shared" si="14"/>
        <v>80000</v>
      </c>
      <c r="G34" s="58">
        <f t="shared" si="14"/>
        <v>80000</v>
      </c>
      <c r="H34" s="58">
        <f t="shared" si="14"/>
        <v>0</v>
      </c>
      <c r="I34" s="58">
        <f t="shared" si="14"/>
        <v>0</v>
      </c>
      <c r="J34" s="58">
        <f t="shared" si="14"/>
        <v>0</v>
      </c>
      <c r="K34" s="58">
        <f t="shared" si="14"/>
        <v>0</v>
      </c>
      <c r="L34" s="58">
        <f t="shared" si="14"/>
        <v>0</v>
      </c>
      <c r="M34" s="58">
        <f t="shared" si="14"/>
        <v>0</v>
      </c>
      <c r="N34" s="58">
        <f t="shared" si="14"/>
        <v>0</v>
      </c>
      <c r="O34" s="58">
        <f t="shared" si="14"/>
        <v>0</v>
      </c>
      <c r="P34" s="46"/>
    </row>
    <row r="35" spans="1:16" ht="38.25">
      <c r="A35" s="54"/>
      <c r="B35" s="51"/>
      <c r="C35" s="61" t="s">
        <v>58</v>
      </c>
      <c r="D35" s="35">
        <v>0</v>
      </c>
      <c r="E35" s="35">
        <v>0</v>
      </c>
      <c r="F35" s="35">
        <f>SUM(G35:J35)</f>
        <v>80000</v>
      </c>
      <c r="G35" s="48">
        <v>80000</v>
      </c>
      <c r="H35" s="48">
        <v>0</v>
      </c>
      <c r="I35" s="48">
        <v>0</v>
      </c>
      <c r="J35" s="48">
        <v>0</v>
      </c>
      <c r="K35" s="35">
        <f>SUM(L35:O35)</f>
        <v>0</v>
      </c>
      <c r="L35" s="48">
        <v>0</v>
      </c>
      <c r="M35" s="48">
        <v>0</v>
      </c>
      <c r="N35" s="48">
        <v>0</v>
      </c>
      <c r="O35" s="48">
        <v>0</v>
      </c>
      <c r="P35" s="41" t="s">
        <v>189</v>
      </c>
    </row>
    <row r="36" spans="1:16" s="66" customFormat="1" ht="14.25" customHeight="1">
      <c r="A36" s="62" t="s">
        <v>21</v>
      </c>
      <c r="B36" s="62"/>
      <c r="C36" s="63" t="s">
        <v>109</v>
      </c>
      <c r="D36" s="64">
        <f t="shared" ref="D36:O36" si="15">D37</f>
        <v>0</v>
      </c>
      <c r="E36" s="64">
        <f t="shared" si="15"/>
        <v>0</v>
      </c>
      <c r="F36" s="64">
        <f t="shared" si="15"/>
        <v>75640</v>
      </c>
      <c r="G36" s="64">
        <f t="shared" si="15"/>
        <v>13640</v>
      </c>
      <c r="H36" s="64">
        <f t="shared" si="15"/>
        <v>15000</v>
      </c>
      <c r="I36" s="64">
        <f t="shared" si="15"/>
        <v>0</v>
      </c>
      <c r="J36" s="64">
        <f t="shared" si="15"/>
        <v>47000</v>
      </c>
      <c r="K36" s="64">
        <f t="shared" si="15"/>
        <v>0</v>
      </c>
      <c r="L36" s="64">
        <f t="shared" si="15"/>
        <v>0</v>
      </c>
      <c r="M36" s="64">
        <f t="shared" si="15"/>
        <v>0</v>
      </c>
      <c r="N36" s="64">
        <f t="shared" si="15"/>
        <v>0</v>
      </c>
      <c r="O36" s="64">
        <f t="shared" si="15"/>
        <v>0</v>
      </c>
      <c r="P36" s="65"/>
    </row>
    <row r="37" spans="1:16" s="31" customFormat="1" ht="40.5" customHeight="1">
      <c r="A37" s="25"/>
      <c r="B37" s="67" t="s">
        <v>22</v>
      </c>
      <c r="C37" s="68" t="s">
        <v>192</v>
      </c>
      <c r="D37" s="45">
        <f t="shared" ref="D37:O37" si="16">SUM(D38:D38)</f>
        <v>0</v>
      </c>
      <c r="E37" s="45">
        <f t="shared" si="16"/>
        <v>0</v>
      </c>
      <c r="F37" s="45">
        <f t="shared" si="16"/>
        <v>75640</v>
      </c>
      <c r="G37" s="45">
        <f t="shared" si="16"/>
        <v>13640</v>
      </c>
      <c r="H37" s="45">
        <f t="shared" si="16"/>
        <v>15000</v>
      </c>
      <c r="I37" s="45">
        <f t="shared" si="16"/>
        <v>0</v>
      </c>
      <c r="J37" s="45">
        <f t="shared" si="16"/>
        <v>47000</v>
      </c>
      <c r="K37" s="45">
        <f t="shared" si="16"/>
        <v>0</v>
      </c>
      <c r="L37" s="45">
        <f t="shared" si="16"/>
        <v>0</v>
      </c>
      <c r="M37" s="45">
        <f t="shared" si="16"/>
        <v>0</v>
      </c>
      <c r="N37" s="45">
        <f t="shared" si="16"/>
        <v>0</v>
      </c>
      <c r="O37" s="45">
        <f t="shared" si="16"/>
        <v>0</v>
      </c>
      <c r="P37" s="29"/>
    </row>
    <row r="38" spans="1:16" ht="52.5" customHeight="1">
      <c r="A38" s="32"/>
      <c r="B38" s="33"/>
      <c r="C38" s="69" t="s">
        <v>191</v>
      </c>
      <c r="D38" s="35">
        <v>0</v>
      </c>
      <c r="E38" s="35">
        <v>0</v>
      </c>
      <c r="F38" s="35">
        <f t="shared" si="4"/>
        <v>75640</v>
      </c>
      <c r="G38" s="35">
        <v>13640</v>
      </c>
      <c r="H38" s="35">
        <v>15000</v>
      </c>
      <c r="I38" s="35">
        <v>0</v>
      </c>
      <c r="J38" s="35">
        <v>47000</v>
      </c>
      <c r="K38" s="35">
        <f t="shared" ref="K38" si="17">SUM(L38:O38)</f>
        <v>0</v>
      </c>
      <c r="L38" s="35">
        <v>0</v>
      </c>
      <c r="M38" s="35">
        <v>0</v>
      </c>
      <c r="N38" s="35">
        <v>0</v>
      </c>
      <c r="O38" s="35">
        <v>0</v>
      </c>
      <c r="P38" s="70" t="s">
        <v>18</v>
      </c>
    </row>
    <row r="39" spans="1:16" s="66" customFormat="1" ht="14.25" customHeight="1">
      <c r="A39" s="62" t="s">
        <v>23</v>
      </c>
      <c r="B39" s="62"/>
      <c r="C39" s="63" t="s">
        <v>110</v>
      </c>
      <c r="D39" s="64">
        <f t="shared" ref="D39:O39" si="18">D40</f>
        <v>71198</v>
      </c>
      <c r="E39" s="64">
        <f t="shared" si="18"/>
        <v>0</v>
      </c>
      <c r="F39" s="64">
        <f t="shared" si="18"/>
        <v>0</v>
      </c>
      <c r="G39" s="64">
        <f t="shared" si="18"/>
        <v>0</v>
      </c>
      <c r="H39" s="64">
        <f t="shared" si="18"/>
        <v>0</v>
      </c>
      <c r="I39" s="64">
        <f t="shared" si="18"/>
        <v>0</v>
      </c>
      <c r="J39" s="64">
        <f t="shared" si="18"/>
        <v>0</v>
      </c>
      <c r="K39" s="64">
        <f t="shared" si="18"/>
        <v>0</v>
      </c>
      <c r="L39" s="64">
        <f t="shared" si="18"/>
        <v>0</v>
      </c>
      <c r="M39" s="64">
        <f t="shared" si="18"/>
        <v>0</v>
      </c>
      <c r="N39" s="64">
        <f t="shared" si="18"/>
        <v>0</v>
      </c>
      <c r="O39" s="64">
        <f t="shared" si="18"/>
        <v>0</v>
      </c>
      <c r="P39" s="65"/>
    </row>
    <row r="40" spans="1:16" s="31" customFormat="1" ht="13.5" customHeight="1">
      <c r="A40" s="25"/>
      <c r="B40" s="67" t="s">
        <v>24</v>
      </c>
      <c r="C40" s="68" t="s">
        <v>111</v>
      </c>
      <c r="D40" s="45">
        <f t="shared" ref="D40:J40" si="19">SUM(D41:D43)</f>
        <v>71198</v>
      </c>
      <c r="E40" s="45">
        <f t="shared" si="19"/>
        <v>0</v>
      </c>
      <c r="F40" s="45">
        <f t="shared" si="19"/>
        <v>0</v>
      </c>
      <c r="G40" s="45">
        <f t="shared" si="19"/>
        <v>0</v>
      </c>
      <c r="H40" s="45">
        <f t="shared" si="19"/>
        <v>0</v>
      </c>
      <c r="I40" s="45">
        <f t="shared" si="19"/>
        <v>0</v>
      </c>
      <c r="J40" s="45">
        <f t="shared" si="19"/>
        <v>0</v>
      </c>
      <c r="K40" s="45">
        <f t="shared" ref="K40:O40" si="20">SUM(K41:K43)</f>
        <v>0</v>
      </c>
      <c r="L40" s="45">
        <f t="shared" si="20"/>
        <v>0</v>
      </c>
      <c r="M40" s="45">
        <f t="shared" si="20"/>
        <v>0</v>
      </c>
      <c r="N40" s="45">
        <f t="shared" si="20"/>
        <v>0</v>
      </c>
      <c r="O40" s="45">
        <f t="shared" si="20"/>
        <v>0</v>
      </c>
      <c r="P40" s="29"/>
    </row>
    <row r="41" spans="1:16" s="49" customFormat="1" ht="42.75" customHeight="1">
      <c r="A41" s="32"/>
      <c r="B41" s="32"/>
      <c r="C41" s="34" t="s">
        <v>166</v>
      </c>
      <c r="D41" s="35">
        <f>47885+8413</f>
        <v>56298</v>
      </c>
      <c r="E41" s="35">
        <v>0</v>
      </c>
      <c r="F41" s="35">
        <f>SUM(G41:J41)</f>
        <v>0</v>
      </c>
      <c r="G41" s="35">
        <v>0</v>
      </c>
      <c r="H41" s="35">
        <v>0</v>
      </c>
      <c r="I41" s="35">
        <v>0</v>
      </c>
      <c r="J41" s="35">
        <v>0</v>
      </c>
      <c r="K41" s="35">
        <f>SUM(L41:O41)</f>
        <v>0</v>
      </c>
      <c r="L41" s="35">
        <v>0</v>
      </c>
      <c r="M41" s="35">
        <v>0</v>
      </c>
      <c r="N41" s="35">
        <v>0</v>
      </c>
      <c r="O41" s="35">
        <v>0</v>
      </c>
      <c r="P41" s="36" t="s">
        <v>18</v>
      </c>
    </row>
    <row r="42" spans="1:16" ht="16.5" customHeight="1">
      <c r="A42" s="32"/>
      <c r="B42" s="33"/>
      <c r="C42" s="38" t="s">
        <v>25</v>
      </c>
      <c r="D42" s="35">
        <f>4250+750</f>
        <v>5000</v>
      </c>
      <c r="E42" s="35">
        <v>0</v>
      </c>
      <c r="F42" s="35">
        <f>SUM(G42:J42)</f>
        <v>0</v>
      </c>
      <c r="G42" s="35">
        <v>0</v>
      </c>
      <c r="H42" s="35">
        <v>0</v>
      </c>
      <c r="I42" s="35">
        <v>0</v>
      </c>
      <c r="J42" s="35">
        <v>0</v>
      </c>
      <c r="K42" s="35">
        <f>SUM(L42:O42)</f>
        <v>0</v>
      </c>
      <c r="L42" s="35">
        <v>0</v>
      </c>
      <c r="M42" s="35">
        <v>0</v>
      </c>
      <c r="N42" s="35">
        <v>0</v>
      </c>
      <c r="O42" s="35">
        <v>0</v>
      </c>
      <c r="P42" s="40"/>
    </row>
    <row r="43" spans="1:16" ht="29.25" customHeight="1">
      <c r="A43" s="32"/>
      <c r="B43" s="33"/>
      <c r="C43" s="71" t="s">
        <v>26</v>
      </c>
      <c r="D43" s="35">
        <f>8415+1485</f>
        <v>9900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18" t="s">
        <v>184</v>
      </c>
    </row>
    <row r="44" spans="1:16" s="66" customFormat="1" ht="14.25" customHeight="1">
      <c r="A44" s="62" t="s">
        <v>27</v>
      </c>
      <c r="B44" s="62"/>
      <c r="C44" s="63" t="s">
        <v>112</v>
      </c>
      <c r="D44" s="64">
        <f t="shared" ref="D44:J44" si="21">D45+D48+D96+D98+D94</f>
        <v>99341663</v>
      </c>
      <c r="E44" s="64">
        <f t="shared" si="21"/>
        <v>7592277</v>
      </c>
      <c r="F44" s="64">
        <f t="shared" si="21"/>
        <v>13830528</v>
      </c>
      <c r="G44" s="64">
        <f t="shared" si="21"/>
        <v>13310528</v>
      </c>
      <c r="H44" s="64">
        <f t="shared" si="21"/>
        <v>0</v>
      </c>
      <c r="I44" s="64">
        <f t="shared" si="21"/>
        <v>520000</v>
      </c>
      <c r="J44" s="64">
        <f t="shared" si="21"/>
        <v>0</v>
      </c>
      <c r="K44" s="64">
        <f t="shared" ref="K44:O44" si="22">K45+K48+K96+K98+K94</f>
        <v>2710222</v>
      </c>
      <c r="L44" s="64">
        <f t="shared" si="22"/>
        <v>2373652</v>
      </c>
      <c r="M44" s="64">
        <f t="shared" si="22"/>
        <v>0</v>
      </c>
      <c r="N44" s="64">
        <f t="shared" si="22"/>
        <v>336570</v>
      </c>
      <c r="O44" s="64">
        <f t="shared" si="22"/>
        <v>0</v>
      </c>
      <c r="P44" s="65"/>
    </row>
    <row r="45" spans="1:16" s="31" customFormat="1" ht="15.75" customHeight="1">
      <c r="A45" s="25"/>
      <c r="B45" s="43" t="s">
        <v>28</v>
      </c>
      <c r="C45" s="44" t="s">
        <v>113</v>
      </c>
      <c r="D45" s="45">
        <f t="shared" ref="D45:J45" si="23">SUM(D46:D47)</f>
        <v>10573072</v>
      </c>
      <c r="E45" s="45">
        <f t="shared" si="23"/>
        <v>1792552</v>
      </c>
      <c r="F45" s="45">
        <f t="shared" si="23"/>
        <v>0</v>
      </c>
      <c r="G45" s="45">
        <f t="shared" si="23"/>
        <v>0</v>
      </c>
      <c r="H45" s="45">
        <f t="shared" si="23"/>
        <v>0</v>
      </c>
      <c r="I45" s="45">
        <f t="shared" si="23"/>
        <v>0</v>
      </c>
      <c r="J45" s="45">
        <f t="shared" si="23"/>
        <v>0</v>
      </c>
      <c r="K45" s="45">
        <f t="shared" ref="K45:O45" si="24">SUM(K46:K47)</f>
        <v>0</v>
      </c>
      <c r="L45" s="45">
        <f t="shared" si="24"/>
        <v>0</v>
      </c>
      <c r="M45" s="45">
        <f t="shared" si="24"/>
        <v>0</v>
      </c>
      <c r="N45" s="45">
        <f t="shared" si="24"/>
        <v>0</v>
      </c>
      <c r="O45" s="45">
        <f t="shared" si="24"/>
        <v>0</v>
      </c>
      <c r="P45" s="29"/>
    </row>
    <row r="46" spans="1:16" ht="26.25" customHeight="1">
      <c r="A46" s="32"/>
      <c r="B46" s="33"/>
      <c r="C46" s="34" t="s">
        <v>29</v>
      </c>
      <c r="D46" s="35">
        <f>4196586+1049147-644759-1049147</f>
        <v>3551827</v>
      </c>
      <c r="E46" s="35">
        <v>1792552</v>
      </c>
      <c r="F46" s="35">
        <f>SUM(G46:J46)</f>
        <v>0</v>
      </c>
      <c r="G46" s="35">
        <v>0</v>
      </c>
      <c r="H46" s="35">
        <v>0</v>
      </c>
      <c r="I46" s="35">
        <v>0</v>
      </c>
      <c r="J46" s="35">
        <v>0</v>
      </c>
      <c r="K46" s="35">
        <f>SUM(L46:O46)</f>
        <v>0</v>
      </c>
      <c r="L46" s="35">
        <v>0</v>
      </c>
      <c r="M46" s="35">
        <v>0</v>
      </c>
      <c r="N46" s="35">
        <v>0</v>
      </c>
      <c r="O46" s="35">
        <v>0</v>
      </c>
      <c r="P46" s="36" t="s">
        <v>18</v>
      </c>
    </row>
    <row r="47" spans="1:16" ht="29.25" customHeight="1">
      <c r="A47" s="32"/>
      <c r="B47" s="72"/>
      <c r="C47" s="52" t="s">
        <v>145</v>
      </c>
      <c r="D47" s="48">
        <v>7021245</v>
      </c>
      <c r="E47" s="48">
        <v>0</v>
      </c>
      <c r="F47" s="48">
        <f>SUM(G47:J47)</f>
        <v>0</v>
      </c>
      <c r="G47" s="48">
        <v>0</v>
      </c>
      <c r="H47" s="48">
        <v>0</v>
      </c>
      <c r="I47" s="48">
        <v>0</v>
      </c>
      <c r="J47" s="48">
        <v>0</v>
      </c>
      <c r="K47" s="48">
        <f>SUM(L47:O47)</f>
        <v>0</v>
      </c>
      <c r="L47" s="48">
        <v>0</v>
      </c>
      <c r="M47" s="48">
        <v>0</v>
      </c>
      <c r="N47" s="48">
        <v>0</v>
      </c>
      <c r="O47" s="48">
        <v>0</v>
      </c>
      <c r="P47" s="40"/>
    </row>
    <row r="48" spans="1:16" s="31" customFormat="1" ht="15.75" customHeight="1">
      <c r="A48" s="42"/>
      <c r="B48" s="56" t="s">
        <v>30</v>
      </c>
      <c r="C48" s="57" t="s">
        <v>114</v>
      </c>
      <c r="D48" s="58">
        <f t="shared" ref="D48:J48" si="25">SUM(D49:D93)</f>
        <v>40515874</v>
      </c>
      <c r="E48" s="58">
        <f t="shared" si="25"/>
        <v>753874</v>
      </c>
      <c r="F48" s="58">
        <f t="shared" si="25"/>
        <v>13700000</v>
      </c>
      <c r="G48" s="58">
        <f t="shared" si="25"/>
        <v>13180000</v>
      </c>
      <c r="H48" s="58">
        <f t="shared" si="25"/>
        <v>0</v>
      </c>
      <c r="I48" s="58">
        <f t="shared" si="25"/>
        <v>520000</v>
      </c>
      <c r="J48" s="58">
        <f t="shared" si="25"/>
        <v>0</v>
      </c>
      <c r="K48" s="58">
        <f t="shared" ref="K48:O48" si="26">SUM(K49:K93)</f>
        <v>2613652</v>
      </c>
      <c r="L48" s="58">
        <f t="shared" si="26"/>
        <v>2277082</v>
      </c>
      <c r="M48" s="58">
        <f t="shared" si="26"/>
        <v>0</v>
      </c>
      <c r="N48" s="58">
        <f t="shared" si="26"/>
        <v>336570</v>
      </c>
      <c r="O48" s="58">
        <f t="shared" si="26"/>
        <v>0</v>
      </c>
      <c r="P48" s="73"/>
    </row>
    <row r="49" spans="1:16" ht="26.25" customHeight="1">
      <c r="A49" s="32"/>
      <c r="B49" s="33"/>
      <c r="C49" s="34" t="s">
        <v>193</v>
      </c>
      <c r="D49" s="35">
        <v>0</v>
      </c>
      <c r="E49" s="35">
        <v>0</v>
      </c>
      <c r="F49" s="35">
        <f>SUM(G49:J49)</f>
        <v>200000</v>
      </c>
      <c r="G49" s="35">
        <v>200000</v>
      </c>
      <c r="H49" s="35">
        <v>0</v>
      </c>
      <c r="I49" s="35">
        <v>0</v>
      </c>
      <c r="J49" s="35">
        <v>0</v>
      </c>
      <c r="K49" s="35">
        <f>SUM(L49:O49)</f>
        <v>0</v>
      </c>
      <c r="L49" s="35">
        <v>0</v>
      </c>
      <c r="M49" s="35">
        <v>0</v>
      </c>
      <c r="N49" s="35">
        <v>0</v>
      </c>
      <c r="O49" s="35">
        <v>0</v>
      </c>
      <c r="P49" s="36" t="s">
        <v>188</v>
      </c>
    </row>
    <row r="50" spans="1:16" ht="26.25" customHeight="1">
      <c r="A50" s="32"/>
      <c r="B50" s="33"/>
      <c r="C50" s="38" t="s">
        <v>194</v>
      </c>
      <c r="D50" s="35">
        <v>0</v>
      </c>
      <c r="E50" s="35">
        <v>0</v>
      </c>
      <c r="F50" s="35">
        <f>SUM(G50:J50)</f>
        <v>300000</v>
      </c>
      <c r="G50" s="35">
        <v>300000</v>
      </c>
      <c r="H50" s="35">
        <v>0</v>
      </c>
      <c r="I50" s="35">
        <v>0</v>
      </c>
      <c r="J50" s="35">
        <v>0</v>
      </c>
      <c r="K50" s="35">
        <f>SUM(L50:O50)</f>
        <v>0</v>
      </c>
      <c r="L50" s="35">
        <v>0</v>
      </c>
      <c r="M50" s="35">
        <v>0</v>
      </c>
      <c r="N50" s="35">
        <v>0</v>
      </c>
      <c r="O50" s="35">
        <v>0</v>
      </c>
      <c r="P50" s="39"/>
    </row>
    <row r="51" spans="1:16" ht="26.25" customHeight="1">
      <c r="A51" s="32"/>
      <c r="B51" s="33"/>
      <c r="C51" s="34" t="s">
        <v>31</v>
      </c>
      <c r="D51" s="35">
        <v>0</v>
      </c>
      <c r="E51" s="35">
        <v>0</v>
      </c>
      <c r="F51" s="35">
        <f>SUM(G51:J51)</f>
        <v>50000</v>
      </c>
      <c r="G51" s="35">
        <v>50000</v>
      </c>
      <c r="H51" s="35">
        <v>0</v>
      </c>
      <c r="I51" s="35">
        <v>0</v>
      </c>
      <c r="J51" s="35">
        <v>0</v>
      </c>
      <c r="K51" s="35">
        <f>SUM(L51:O51)</f>
        <v>0</v>
      </c>
      <c r="L51" s="35">
        <v>0</v>
      </c>
      <c r="M51" s="35">
        <v>0</v>
      </c>
      <c r="N51" s="35">
        <v>0</v>
      </c>
      <c r="O51" s="35">
        <v>0</v>
      </c>
      <c r="P51" s="39"/>
    </row>
    <row r="52" spans="1:16" ht="39.75" customHeight="1">
      <c r="A52" s="51"/>
      <c r="B52" s="51"/>
      <c r="C52" s="34" t="s">
        <v>195</v>
      </c>
      <c r="D52" s="35">
        <v>0</v>
      </c>
      <c r="E52" s="35">
        <v>0</v>
      </c>
      <c r="F52" s="35">
        <f>SUM(G52:J52)</f>
        <v>100000</v>
      </c>
      <c r="G52" s="35">
        <v>100000</v>
      </c>
      <c r="H52" s="35">
        <v>0</v>
      </c>
      <c r="I52" s="35">
        <v>0</v>
      </c>
      <c r="J52" s="35">
        <v>0</v>
      </c>
      <c r="K52" s="35">
        <f>SUM(L52:O52)</f>
        <v>0</v>
      </c>
      <c r="L52" s="35">
        <v>0</v>
      </c>
      <c r="M52" s="35">
        <v>0</v>
      </c>
      <c r="N52" s="35">
        <v>0</v>
      </c>
      <c r="O52" s="35">
        <v>0</v>
      </c>
      <c r="P52" s="39"/>
    </row>
    <row r="53" spans="1:16" ht="28.5" customHeight="1">
      <c r="A53" s="51"/>
      <c r="B53" s="51"/>
      <c r="C53" s="34" t="s">
        <v>196</v>
      </c>
      <c r="D53" s="35">
        <v>0</v>
      </c>
      <c r="E53" s="35">
        <v>0</v>
      </c>
      <c r="F53" s="35">
        <f t="shared" si="4"/>
        <v>100000</v>
      </c>
      <c r="G53" s="35">
        <v>100000</v>
      </c>
      <c r="H53" s="35">
        <v>0</v>
      </c>
      <c r="I53" s="35">
        <v>0</v>
      </c>
      <c r="J53" s="35">
        <v>0</v>
      </c>
      <c r="K53" s="35">
        <f t="shared" ref="K53:K93" si="27">SUM(L53:O53)</f>
        <v>0</v>
      </c>
      <c r="L53" s="35">
        <v>0</v>
      </c>
      <c r="M53" s="35">
        <v>0</v>
      </c>
      <c r="N53" s="35">
        <v>0</v>
      </c>
      <c r="O53" s="35">
        <v>0</v>
      </c>
      <c r="P53" s="39"/>
    </row>
    <row r="54" spans="1:16" ht="27.75" customHeight="1">
      <c r="A54" s="51"/>
      <c r="B54" s="51"/>
      <c r="C54" s="34" t="s">
        <v>32</v>
      </c>
      <c r="D54" s="35">
        <v>0</v>
      </c>
      <c r="E54" s="35">
        <v>0</v>
      </c>
      <c r="F54" s="35">
        <f t="shared" si="4"/>
        <v>350000</v>
      </c>
      <c r="G54" s="35">
        <v>350000</v>
      </c>
      <c r="H54" s="35">
        <v>0</v>
      </c>
      <c r="I54" s="35">
        <v>0</v>
      </c>
      <c r="J54" s="35">
        <v>0</v>
      </c>
      <c r="K54" s="35">
        <f t="shared" si="27"/>
        <v>0</v>
      </c>
      <c r="L54" s="35">
        <v>0</v>
      </c>
      <c r="M54" s="35">
        <v>0</v>
      </c>
      <c r="N54" s="35">
        <v>0</v>
      </c>
      <c r="O54" s="35">
        <v>0</v>
      </c>
      <c r="P54" s="39"/>
    </row>
    <row r="55" spans="1:16" ht="27.75" customHeight="1">
      <c r="A55" s="51"/>
      <c r="B55" s="51"/>
      <c r="C55" s="34" t="s">
        <v>197</v>
      </c>
      <c r="D55" s="48">
        <v>0</v>
      </c>
      <c r="E55" s="48">
        <v>0</v>
      </c>
      <c r="F55" s="48">
        <f t="shared" si="4"/>
        <v>150000</v>
      </c>
      <c r="G55" s="48">
        <v>150000</v>
      </c>
      <c r="H55" s="48">
        <v>0</v>
      </c>
      <c r="I55" s="48">
        <v>0</v>
      </c>
      <c r="J55" s="35">
        <v>0</v>
      </c>
      <c r="K55" s="48">
        <f t="shared" si="27"/>
        <v>0</v>
      </c>
      <c r="L55" s="48">
        <v>0</v>
      </c>
      <c r="M55" s="48">
        <v>0</v>
      </c>
      <c r="N55" s="48">
        <v>0</v>
      </c>
      <c r="O55" s="35">
        <v>0</v>
      </c>
      <c r="P55" s="39"/>
    </row>
    <row r="56" spans="1:16" ht="15.75" customHeight="1">
      <c r="A56" s="51"/>
      <c r="B56" s="51"/>
      <c r="C56" s="34" t="s">
        <v>33</v>
      </c>
      <c r="D56" s="48">
        <v>0</v>
      </c>
      <c r="E56" s="48">
        <v>0</v>
      </c>
      <c r="F56" s="48">
        <f t="shared" si="4"/>
        <v>35000</v>
      </c>
      <c r="G56" s="48">
        <v>35000</v>
      </c>
      <c r="H56" s="48">
        <v>0</v>
      </c>
      <c r="I56" s="48">
        <v>0</v>
      </c>
      <c r="J56" s="35">
        <v>0</v>
      </c>
      <c r="K56" s="48">
        <f t="shared" si="27"/>
        <v>0</v>
      </c>
      <c r="L56" s="48">
        <v>0</v>
      </c>
      <c r="M56" s="48">
        <v>0</v>
      </c>
      <c r="N56" s="48">
        <v>0</v>
      </c>
      <c r="O56" s="35">
        <v>0</v>
      </c>
      <c r="P56" s="39"/>
    </row>
    <row r="57" spans="1:16" ht="15" customHeight="1">
      <c r="A57" s="51"/>
      <c r="B57" s="51"/>
      <c r="C57" s="34" t="s">
        <v>34</v>
      </c>
      <c r="D57" s="48">
        <v>0</v>
      </c>
      <c r="E57" s="48">
        <v>0</v>
      </c>
      <c r="F57" s="48">
        <f t="shared" si="4"/>
        <v>3919569</v>
      </c>
      <c r="G57" s="48">
        <f>3930000-30431</f>
        <v>3899569</v>
      </c>
      <c r="H57" s="48">
        <v>0</v>
      </c>
      <c r="I57" s="48">
        <v>20000</v>
      </c>
      <c r="J57" s="35">
        <v>0</v>
      </c>
      <c r="K57" s="48">
        <f t="shared" si="27"/>
        <v>472039</v>
      </c>
      <c r="L57" s="48">
        <v>472039</v>
      </c>
      <c r="M57" s="48">
        <v>0</v>
      </c>
      <c r="N57" s="48">
        <v>0</v>
      </c>
      <c r="O57" s="35">
        <v>0</v>
      </c>
      <c r="P57" s="39"/>
    </row>
    <row r="58" spans="1:16" ht="26.25" customHeight="1">
      <c r="A58" s="51"/>
      <c r="B58" s="51"/>
      <c r="C58" s="34" t="s">
        <v>161</v>
      </c>
      <c r="D58" s="48">
        <f>4061500+1678328-5639828</f>
        <v>100000</v>
      </c>
      <c r="E58" s="48">
        <v>0</v>
      </c>
      <c r="F58" s="48">
        <f t="shared" si="4"/>
        <v>0</v>
      </c>
      <c r="G58" s="48">
        <v>0</v>
      </c>
      <c r="H58" s="48">
        <v>0</v>
      </c>
      <c r="I58" s="48">
        <v>0</v>
      </c>
      <c r="J58" s="35">
        <v>0</v>
      </c>
      <c r="K58" s="48">
        <f t="shared" si="27"/>
        <v>0</v>
      </c>
      <c r="L58" s="48">
        <v>0</v>
      </c>
      <c r="M58" s="48">
        <v>0</v>
      </c>
      <c r="N58" s="48">
        <v>0</v>
      </c>
      <c r="O58" s="35">
        <v>0</v>
      </c>
      <c r="P58" s="39"/>
    </row>
    <row r="59" spans="1:16" ht="27.75" customHeight="1">
      <c r="A59" s="54"/>
      <c r="B59" s="54"/>
      <c r="C59" s="34" t="s">
        <v>198</v>
      </c>
      <c r="D59" s="48">
        <v>0</v>
      </c>
      <c r="E59" s="48">
        <v>0</v>
      </c>
      <c r="F59" s="48">
        <f t="shared" si="4"/>
        <v>500000</v>
      </c>
      <c r="G59" s="48">
        <v>500000</v>
      </c>
      <c r="H59" s="48">
        <v>0</v>
      </c>
      <c r="I59" s="48">
        <v>0</v>
      </c>
      <c r="J59" s="35">
        <v>0</v>
      </c>
      <c r="K59" s="48">
        <f t="shared" si="27"/>
        <v>0</v>
      </c>
      <c r="L59" s="48">
        <v>0</v>
      </c>
      <c r="M59" s="48">
        <v>0</v>
      </c>
      <c r="N59" s="48">
        <v>0</v>
      </c>
      <c r="O59" s="35">
        <v>0</v>
      </c>
      <c r="P59" s="40"/>
    </row>
    <row r="60" spans="1:16" ht="27" customHeight="1">
      <c r="A60" s="74"/>
      <c r="B60" s="74"/>
      <c r="C60" s="34" t="s">
        <v>35</v>
      </c>
      <c r="D60" s="48">
        <v>0</v>
      </c>
      <c r="E60" s="48">
        <v>0</v>
      </c>
      <c r="F60" s="48">
        <f t="shared" si="4"/>
        <v>500000</v>
      </c>
      <c r="G60" s="48">
        <v>500000</v>
      </c>
      <c r="H60" s="48">
        <v>0</v>
      </c>
      <c r="I60" s="48">
        <v>0</v>
      </c>
      <c r="J60" s="35">
        <v>0</v>
      </c>
      <c r="K60" s="48">
        <f t="shared" si="27"/>
        <v>0</v>
      </c>
      <c r="L60" s="48">
        <v>0</v>
      </c>
      <c r="M60" s="48">
        <v>0</v>
      </c>
      <c r="N60" s="48">
        <v>0</v>
      </c>
      <c r="O60" s="35">
        <v>0</v>
      </c>
      <c r="P60" s="36" t="s">
        <v>188</v>
      </c>
    </row>
    <row r="61" spans="1:16" ht="28.5" customHeight="1">
      <c r="A61" s="51"/>
      <c r="B61" s="51"/>
      <c r="C61" s="34" t="s">
        <v>36</v>
      </c>
      <c r="D61" s="48">
        <v>0</v>
      </c>
      <c r="E61" s="48">
        <v>0</v>
      </c>
      <c r="F61" s="48">
        <f t="shared" si="4"/>
        <v>645000</v>
      </c>
      <c r="G61" s="48">
        <f>700000-55000</f>
        <v>645000</v>
      </c>
      <c r="H61" s="48">
        <v>0</v>
      </c>
      <c r="I61" s="48">
        <v>0</v>
      </c>
      <c r="J61" s="35">
        <v>0</v>
      </c>
      <c r="K61" s="48">
        <f t="shared" si="27"/>
        <v>0</v>
      </c>
      <c r="L61" s="48">
        <v>0</v>
      </c>
      <c r="M61" s="48">
        <v>0</v>
      </c>
      <c r="N61" s="48">
        <v>0</v>
      </c>
      <c r="O61" s="35">
        <v>0</v>
      </c>
      <c r="P61" s="39"/>
    </row>
    <row r="62" spans="1:16" ht="27.75" customHeight="1">
      <c r="A62" s="51"/>
      <c r="B62" s="51"/>
      <c r="C62" s="34" t="s">
        <v>37</v>
      </c>
      <c r="D62" s="48">
        <v>0</v>
      </c>
      <c r="E62" s="48">
        <v>0</v>
      </c>
      <c r="F62" s="48">
        <f t="shared" si="4"/>
        <v>300000</v>
      </c>
      <c r="G62" s="48">
        <v>300000</v>
      </c>
      <c r="H62" s="48">
        <v>0</v>
      </c>
      <c r="I62" s="48">
        <v>0</v>
      </c>
      <c r="J62" s="35">
        <v>0</v>
      </c>
      <c r="K62" s="48">
        <f t="shared" si="27"/>
        <v>0</v>
      </c>
      <c r="L62" s="48">
        <v>0</v>
      </c>
      <c r="M62" s="48">
        <v>0</v>
      </c>
      <c r="N62" s="48">
        <v>0</v>
      </c>
      <c r="O62" s="35">
        <v>0</v>
      </c>
      <c r="P62" s="39"/>
    </row>
    <row r="63" spans="1:16" ht="30" customHeight="1">
      <c r="A63" s="51"/>
      <c r="B63" s="51"/>
      <c r="C63" s="34" t="s">
        <v>38</v>
      </c>
      <c r="D63" s="48">
        <v>0</v>
      </c>
      <c r="E63" s="48">
        <v>0</v>
      </c>
      <c r="F63" s="48">
        <f t="shared" si="4"/>
        <v>500000</v>
      </c>
      <c r="G63" s="48">
        <v>500000</v>
      </c>
      <c r="H63" s="48">
        <v>0</v>
      </c>
      <c r="I63" s="48">
        <v>0</v>
      </c>
      <c r="J63" s="35">
        <v>0</v>
      </c>
      <c r="K63" s="48">
        <f t="shared" si="27"/>
        <v>0</v>
      </c>
      <c r="L63" s="48">
        <v>0</v>
      </c>
      <c r="M63" s="48">
        <v>0</v>
      </c>
      <c r="N63" s="48">
        <v>0</v>
      </c>
      <c r="O63" s="35">
        <v>0</v>
      </c>
      <c r="P63" s="39"/>
    </row>
    <row r="64" spans="1:16" ht="27.75" customHeight="1">
      <c r="A64" s="51"/>
      <c r="B64" s="51"/>
      <c r="C64" s="34" t="s">
        <v>39</v>
      </c>
      <c r="D64" s="48">
        <v>0</v>
      </c>
      <c r="E64" s="48">
        <v>0</v>
      </c>
      <c r="F64" s="48">
        <f t="shared" si="4"/>
        <v>250000</v>
      </c>
      <c r="G64" s="48">
        <v>250000</v>
      </c>
      <c r="H64" s="48">
        <v>0</v>
      </c>
      <c r="I64" s="48">
        <v>0</v>
      </c>
      <c r="J64" s="35">
        <v>0</v>
      </c>
      <c r="K64" s="48">
        <f t="shared" si="27"/>
        <v>0</v>
      </c>
      <c r="L64" s="48">
        <v>0</v>
      </c>
      <c r="M64" s="48">
        <v>0</v>
      </c>
      <c r="N64" s="48">
        <v>0</v>
      </c>
      <c r="O64" s="35">
        <v>0</v>
      </c>
      <c r="P64" s="39"/>
    </row>
    <row r="65" spans="1:16" ht="26.25" customHeight="1">
      <c r="A65" s="51"/>
      <c r="B65" s="51"/>
      <c r="C65" s="34" t="s">
        <v>144</v>
      </c>
      <c r="D65" s="48">
        <v>0</v>
      </c>
      <c r="E65" s="48">
        <v>0</v>
      </c>
      <c r="F65" s="48">
        <f t="shared" si="4"/>
        <v>55000</v>
      </c>
      <c r="G65" s="48">
        <v>55000</v>
      </c>
      <c r="H65" s="48">
        <v>0</v>
      </c>
      <c r="I65" s="48">
        <v>0</v>
      </c>
      <c r="J65" s="35">
        <v>0</v>
      </c>
      <c r="K65" s="48">
        <f t="shared" si="27"/>
        <v>53751</v>
      </c>
      <c r="L65" s="48">
        <v>53751</v>
      </c>
      <c r="M65" s="48">
        <v>0</v>
      </c>
      <c r="N65" s="48">
        <v>0</v>
      </c>
      <c r="O65" s="35">
        <v>0</v>
      </c>
      <c r="P65" s="39"/>
    </row>
    <row r="66" spans="1:16" ht="25.5">
      <c r="A66" s="51"/>
      <c r="B66" s="51"/>
      <c r="C66" s="34" t="s">
        <v>178</v>
      </c>
      <c r="D66" s="48">
        <v>0</v>
      </c>
      <c r="E66" s="48">
        <v>0</v>
      </c>
      <c r="F66" s="48">
        <f t="shared" si="4"/>
        <v>400000</v>
      </c>
      <c r="G66" s="48">
        <v>400000</v>
      </c>
      <c r="H66" s="48">
        <v>0</v>
      </c>
      <c r="I66" s="48">
        <v>0</v>
      </c>
      <c r="J66" s="35">
        <v>0</v>
      </c>
      <c r="K66" s="48">
        <f t="shared" si="27"/>
        <v>0</v>
      </c>
      <c r="L66" s="48">
        <v>0</v>
      </c>
      <c r="M66" s="48">
        <v>0</v>
      </c>
      <c r="N66" s="48">
        <v>0</v>
      </c>
      <c r="O66" s="35">
        <v>0</v>
      </c>
      <c r="P66" s="39"/>
    </row>
    <row r="67" spans="1:16" ht="28.5" customHeight="1">
      <c r="A67" s="51"/>
      <c r="B67" s="51"/>
      <c r="C67" s="34" t="s">
        <v>179</v>
      </c>
      <c r="D67" s="48">
        <v>0</v>
      </c>
      <c r="E67" s="48">
        <v>0</v>
      </c>
      <c r="F67" s="48">
        <f t="shared" si="4"/>
        <v>600000</v>
      </c>
      <c r="G67" s="48">
        <v>600000</v>
      </c>
      <c r="H67" s="48">
        <v>0</v>
      </c>
      <c r="I67" s="48">
        <v>0</v>
      </c>
      <c r="J67" s="35">
        <v>0</v>
      </c>
      <c r="K67" s="48">
        <f t="shared" si="27"/>
        <v>0</v>
      </c>
      <c r="L67" s="48">
        <v>0</v>
      </c>
      <c r="M67" s="48">
        <v>0</v>
      </c>
      <c r="N67" s="48">
        <v>0</v>
      </c>
      <c r="O67" s="35">
        <v>0</v>
      </c>
      <c r="P67" s="39"/>
    </row>
    <row r="68" spans="1:16" ht="27.75" customHeight="1">
      <c r="A68" s="51"/>
      <c r="B68" s="51"/>
      <c r="C68" s="34" t="s">
        <v>40</v>
      </c>
      <c r="D68" s="48">
        <v>0</v>
      </c>
      <c r="E68" s="48">
        <v>0</v>
      </c>
      <c r="F68" s="48">
        <f t="shared" si="4"/>
        <v>950000</v>
      </c>
      <c r="G68" s="48">
        <v>950000</v>
      </c>
      <c r="H68" s="48">
        <v>0</v>
      </c>
      <c r="I68" s="48">
        <v>0</v>
      </c>
      <c r="J68" s="35">
        <v>0</v>
      </c>
      <c r="K68" s="48">
        <f t="shared" si="27"/>
        <v>0</v>
      </c>
      <c r="L68" s="48">
        <v>0</v>
      </c>
      <c r="M68" s="48">
        <v>0</v>
      </c>
      <c r="N68" s="48">
        <v>0</v>
      </c>
      <c r="O68" s="35">
        <v>0</v>
      </c>
      <c r="P68" s="39"/>
    </row>
    <row r="69" spans="1:16" ht="27.75" customHeight="1">
      <c r="A69" s="51"/>
      <c r="B69" s="51"/>
      <c r="C69" s="34" t="s">
        <v>199</v>
      </c>
      <c r="D69" s="48">
        <v>0</v>
      </c>
      <c r="E69" s="48">
        <v>0</v>
      </c>
      <c r="F69" s="48">
        <f t="shared" si="4"/>
        <v>300000</v>
      </c>
      <c r="G69" s="48">
        <v>300000</v>
      </c>
      <c r="H69" s="48">
        <v>0</v>
      </c>
      <c r="I69" s="48">
        <v>0</v>
      </c>
      <c r="J69" s="35">
        <v>0</v>
      </c>
      <c r="K69" s="48">
        <f t="shared" si="27"/>
        <v>87737</v>
      </c>
      <c r="L69" s="48">
        <v>87737</v>
      </c>
      <c r="M69" s="48">
        <v>0</v>
      </c>
      <c r="N69" s="48">
        <v>0</v>
      </c>
      <c r="O69" s="35">
        <v>0</v>
      </c>
      <c r="P69" s="39"/>
    </row>
    <row r="70" spans="1:16" ht="27" customHeight="1">
      <c r="A70" s="51"/>
      <c r="B70" s="51"/>
      <c r="C70" s="34" t="s">
        <v>41</v>
      </c>
      <c r="D70" s="48">
        <v>0</v>
      </c>
      <c r="E70" s="48">
        <v>0</v>
      </c>
      <c r="F70" s="48">
        <f t="shared" si="4"/>
        <v>1000000</v>
      </c>
      <c r="G70" s="48">
        <v>1000000</v>
      </c>
      <c r="H70" s="48">
        <v>0</v>
      </c>
      <c r="I70" s="48">
        <v>0</v>
      </c>
      <c r="J70" s="35">
        <v>0</v>
      </c>
      <c r="K70" s="48">
        <f t="shared" si="27"/>
        <v>0</v>
      </c>
      <c r="L70" s="48">
        <v>0</v>
      </c>
      <c r="M70" s="48">
        <v>0</v>
      </c>
      <c r="N70" s="48">
        <v>0</v>
      </c>
      <c r="O70" s="35">
        <v>0</v>
      </c>
      <c r="P70" s="39"/>
    </row>
    <row r="71" spans="1:16" ht="27" customHeight="1">
      <c r="A71" s="51"/>
      <c r="B71" s="51"/>
      <c r="C71" s="34" t="s">
        <v>43</v>
      </c>
      <c r="D71" s="48">
        <f>11930763+5113184+176750-7225428</f>
        <v>9995269</v>
      </c>
      <c r="E71" s="48">
        <v>58140</v>
      </c>
      <c r="F71" s="48">
        <f t="shared" si="4"/>
        <v>0</v>
      </c>
      <c r="G71" s="48">
        <v>0</v>
      </c>
      <c r="H71" s="48">
        <v>0</v>
      </c>
      <c r="I71" s="48">
        <v>0</v>
      </c>
      <c r="J71" s="35">
        <v>0</v>
      </c>
      <c r="K71" s="48">
        <f t="shared" si="27"/>
        <v>0</v>
      </c>
      <c r="L71" s="48">
        <v>0</v>
      </c>
      <c r="M71" s="48">
        <v>0</v>
      </c>
      <c r="N71" s="48">
        <v>0</v>
      </c>
      <c r="O71" s="35">
        <v>0</v>
      </c>
      <c r="P71" s="39"/>
    </row>
    <row r="72" spans="1:16" ht="40.5" customHeight="1">
      <c r="A72" s="51"/>
      <c r="B72" s="51"/>
      <c r="C72" s="34" t="s">
        <v>44</v>
      </c>
      <c r="D72" s="48">
        <f>332462+82415+2404500-2801846</f>
        <v>17531</v>
      </c>
      <c r="E72" s="48">
        <v>0</v>
      </c>
      <c r="F72" s="48">
        <f t="shared" si="4"/>
        <v>0</v>
      </c>
      <c r="G72" s="48">
        <v>0</v>
      </c>
      <c r="H72" s="48">
        <v>0</v>
      </c>
      <c r="I72" s="48">
        <v>0</v>
      </c>
      <c r="J72" s="35">
        <v>0</v>
      </c>
      <c r="K72" s="48">
        <f t="shared" si="27"/>
        <v>0</v>
      </c>
      <c r="L72" s="48">
        <v>0</v>
      </c>
      <c r="M72" s="48">
        <v>0</v>
      </c>
      <c r="N72" s="48">
        <v>0</v>
      </c>
      <c r="O72" s="35">
        <v>0</v>
      </c>
      <c r="P72" s="39"/>
    </row>
    <row r="73" spans="1:16" ht="41.25" customHeight="1">
      <c r="A73" s="51"/>
      <c r="B73" s="51"/>
      <c r="C73" s="34" t="s">
        <v>45</v>
      </c>
      <c r="D73" s="48">
        <f>157151+38588+1820000-2008106</f>
        <v>7633</v>
      </c>
      <c r="E73" s="48">
        <v>0</v>
      </c>
      <c r="F73" s="48">
        <f t="shared" si="4"/>
        <v>0</v>
      </c>
      <c r="G73" s="48">
        <v>0</v>
      </c>
      <c r="H73" s="48">
        <v>0</v>
      </c>
      <c r="I73" s="48">
        <v>0</v>
      </c>
      <c r="J73" s="35">
        <v>0</v>
      </c>
      <c r="K73" s="48">
        <f t="shared" si="27"/>
        <v>0</v>
      </c>
      <c r="L73" s="48">
        <v>0</v>
      </c>
      <c r="M73" s="48">
        <v>0</v>
      </c>
      <c r="N73" s="48">
        <v>0</v>
      </c>
      <c r="O73" s="35">
        <v>0</v>
      </c>
      <c r="P73" s="39"/>
    </row>
    <row r="74" spans="1:16" ht="27" hidden="1" customHeight="1">
      <c r="A74" s="51"/>
      <c r="B74" s="51"/>
      <c r="C74" s="34" t="s">
        <v>46</v>
      </c>
      <c r="D74" s="48">
        <f>122175+52361+159000-333536</f>
        <v>0</v>
      </c>
      <c r="E74" s="48">
        <v>0</v>
      </c>
      <c r="F74" s="48">
        <f t="shared" si="4"/>
        <v>0</v>
      </c>
      <c r="G74" s="48">
        <v>0</v>
      </c>
      <c r="H74" s="48">
        <v>0</v>
      </c>
      <c r="I74" s="48">
        <v>0</v>
      </c>
      <c r="J74" s="35">
        <v>0</v>
      </c>
      <c r="K74" s="48">
        <f t="shared" si="27"/>
        <v>0</v>
      </c>
      <c r="L74" s="48">
        <v>0</v>
      </c>
      <c r="M74" s="48">
        <v>0</v>
      </c>
      <c r="N74" s="48">
        <v>0</v>
      </c>
      <c r="O74" s="35">
        <v>0</v>
      </c>
      <c r="P74" s="39"/>
    </row>
    <row r="75" spans="1:16" ht="40.5" customHeight="1">
      <c r="A75" s="51"/>
      <c r="B75" s="51"/>
      <c r="C75" s="34" t="s">
        <v>47</v>
      </c>
      <c r="D75" s="48">
        <f>1402090+349523+450500-2178690</f>
        <v>23423</v>
      </c>
      <c r="E75" s="48">
        <v>0</v>
      </c>
      <c r="F75" s="48">
        <f t="shared" si="4"/>
        <v>0</v>
      </c>
      <c r="G75" s="48">
        <v>0</v>
      </c>
      <c r="H75" s="48">
        <v>0</v>
      </c>
      <c r="I75" s="48">
        <v>0</v>
      </c>
      <c r="J75" s="35">
        <v>0</v>
      </c>
      <c r="K75" s="48">
        <f t="shared" si="27"/>
        <v>0</v>
      </c>
      <c r="L75" s="48">
        <v>0</v>
      </c>
      <c r="M75" s="48">
        <v>0</v>
      </c>
      <c r="N75" s="48">
        <v>0</v>
      </c>
      <c r="O75" s="35">
        <v>0</v>
      </c>
      <c r="P75" s="39"/>
    </row>
    <row r="76" spans="1:16" ht="27.75" customHeight="1">
      <c r="A76" s="51"/>
      <c r="B76" s="51"/>
      <c r="C76" s="34" t="s">
        <v>48</v>
      </c>
      <c r="D76" s="48">
        <f>1846107+460528+407250-2680787</f>
        <v>33098</v>
      </c>
      <c r="E76" s="48">
        <v>0</v>
      </c>
      <c r="F76" s="48">
        <f t="shared" si="4"/>
        <v>0</v>
      </c>
      <c r="G76" s="48">
        <v>0</v>
      </c>
      <c r="H76" s="48">
        <v>0</v>
      </c>
      <c r="I76" s="48">
        <v>0</v>
      </c>
      <c r="J76" s="35">
        <v>0</v>
      </c>
      <c r="K76" s="48">
        <f t="shared" si="27"/>
        <v>0</v>
      </c>
      <c r="L76" s="48">
        <v>0</v>
      </c>
      <c r="M76" s="48">
        <v>0</v>
      </c>
      <c r="N76" s="48">
        <v>0</v>
      </c>
      <c r="O76" s="35">
        <v>0</v>
      </c>
      <c r="P76" s="39"/>
    </row>
    <row r="77" spans="1:16" ht="27.75" customHeight="1">
      <c r="A77" s="51"/>
      <c r="B77" s="51"/>
      <c r="C77" s="34" t="s">
        <v>49</v>
      </c>
      <c r="D77" s="48">
        <f>4288495+5059782+261900-290</f>
        <v>9609887</v>
      </c>
      <c r="E77" s="48">
        <v>487586</v>
      </c>
      <c r="F77" s="48">
        <f t="shared" si="4"/>
        <v>0</v>
      </c>
      <c r="G77" s="48">
        <v>0</v>
      </c>
      <c r="H77" s="48">
        <v>0</v>
      </c>
      <c r="I77" s="48">
        <v>0</v>
      </c>
      <c r="J77" s="35">
        <v>0</v>
      </c>
      <c r="K77" s="48">
        <f t="shared" si="27"/>
        <v>0</v>
      </c>
      <c r="L77" s="48">
        <v>0</v>
      </c>
      <c r="M77" s="48">
        <v>0</v>
      </c>
      <c r="N77" s="48">
        <v>0</v>
      </c>
      <c r="O77" s="35">
        <v>0</v>
      </c>
      <c r="P77" s="39"/>
    </row>
    <row r="78" spans="1:16" ht="27.75" customHeight="1">
      <c r="A78" s="51"/>
      <c r="B78" s="51"/>
      <c r="C78" s="34" t="s">
        <v>162</v>
      </c>
      <c r="D78" s="48">
        <f>3331711+832228+534000-4689404</f>
        <v>8535</v>
      </c>
      <c r="E78" s="48">
        <v>0</v>
      </c>
      <c r="F78" s="48">
        <f t="shared" si="4"/>
        <v>0</v>
      </c>
      <c r="G78" s="48">
        <v>0</v>
      </c>
      <c r="H78" s="48">
        <v>0</v>
      </c>
      <c r="I78" s="48">
        <v>0</v>
      </c>
      <c r="J78" s="35">
        <v>0</v>
      </c>
      <c r="K78" s="48">
        <f t="shared" si="27"/>
        <v>0</v>
      </c>
      <c r="L78" s="48">
        <v>0</v>
      </c>
      <c r="M78" s="48">
        <v>0</v>
      </c>
      <c r="N78" s="48">
        <v>0</v>
      </c>
      <c r="O78" s="35">
        <v>0</v>
      </c>
      <c r="P78" s="39"/>
    </row>
    <row r="79" spans="1:16" ht="27.75" customHeight="1">
      <c r="A79" s="51"/>
      <c r="B79" s="51"/>
      <c r="C79" s="34" t="s">
        <v>50</v>
      </c>
      <c r="D79" s="48">
        <f>4635348+1157838+540000-5909536</f>
        <v>423650</v>
      </c>
      <c r="E79" s="48">
        <v>0</v>
      </c>
      <c r="F79" s="48">
        <f t="shared" si="4"/>
        <v>0</v>
      </c>
      <c r="G79" s="48">
        <v>0</v>
      </c>
      <c r="H79" s="48">
        <v>0</v>
      </c>
      <c r="I79" s="48">
        <v>0</v>
      </c>
      <c r="J79" s="35">
        <v>0</v>
      </c>
      <c r="K79" s="48">
        <f t="shared" si="27"/>
        <v>0</v>
      </c>
      <c r="L79" s="48">
        <v>0</v>
      </c>
      <c r="M79" s="48">
        <v>0</v>
      </c>
      <c r="N79" s="48">
        <v>0</v>
      </c>
      <c r="O79" s="35">
        <v>0</v>
      </c>
      <c r="P79" s="39"/>
    </row>
    <row r="80" spans="1:16" ht="27.75" customHeight="1">
      <c r="A80" s="51"/>
      <c r="B80" s="51"/>
      <c r="C80" s="34" t="s">
        <v>51</v>
      </c>
      <c r="D80" s="48">
        <f>188520+46131+899500-1000003</f>
        <v>134148</v>
      </c>
      <c r="E80" s="48">
        <v>0</v>
      </c>
      <c r="F80" s="48">
        <f t="shared" si="4"/>
        <v>0</v>
      </c>
      <c r="G80" s="48">
        <v>0</v>
      </c>
      <c r="H80" s="48">
        <v>0</v>
      </c>
      <c r="I80" s="48">
        <v>0</v>
      </c>
      <c r="J80" s="35">
        <v>0</v>
      </c>
      <c r="K80" s="48">
        <f t="shared" si="27"/>
        <v>0</v>
      </c>
      <c r="L80" s="48">
        <v>0</v>
      </c>
      <c r="M80" s="48">
        <v>0</v>
      </c>
      <c r="N80" s="48">
        <v>0</v>
      </c>
      <c r="O80" s="35">
        <v>0</v>
      </c>
      <c r="P80" s="39"/>
    </row>
    <row r="81" spans="1:16" ht="38.25" customHeight="1">
      <c r="A81" s="51"/>
      <c r="B81" s="51"/>
      <c r="C81" s="34" t="s">
        <v>52</v>
      </c>
      <c r="D81" s="48">
        <f>2460700+614176+1254000-4056053</f>
        <v>272823</v>
      </c>
      <c r="E81" s="48">
        <v>0</v>
      </c>
      <c r="F81" s="48">
        <f t="shared" si="4"/>
        <v>0</v>
      </c>
      <c r="G81" s="48">
        <v>0</v>
      </c>
      <c r="H81" s="48">
        <v>0</v>
      </c>
      <c r="I81" s="48">
        <v>0</v>
      </c>
      <c r="J81" s="35">
        <v>0</v>
      </c>
      <c r="K81" s="48">
        <f t="shared" si="27"/>
        <v>0</v>
      </c>
      <c r="L81" s="48">
        <v>0</v>
      </c>
      <c r="M81" s="48">
        <v>0</v>
      </c>
      <c r="N81" s="48">
        <v>0</v>
      </c>
      <c r="O81" s="35">
        <v>0</v>
      </c>
      <c r="P81" s="39"/>
    </row>
    <row r="82" spans="1:16" ht="27.75" customHeight="1">
      <c r="A82" s="54"/>
      <c r="B82" s="54"/>
      <c r="C82" s="34" t="s">
        <v>53</v>
      </c>
      <c r="D82" s="48">
        <f>234921+57731+395950-532556</f>
        <v>156046</v>
      </c>
      <c r="E82" s="48">
        <v>0</v>
      </c>
      <c r="F82" s="48">
        <f t="shared" si="4"/>
        <v>0</v>
      </c>
      <c r="G82" s="48">
        <v>0</v>
      </c>
      <c r="H82" s="48">
        <v>0</v>
      </c>
      <c r="I82" s="48">
        <v>0</v>
      </c>
      <c r="J82" s="35">
        <v>0</v>
      </c>
      <c r="K82" s="48">
        <f t="shared" si="27"/>
        <v>0</v>
      </c>
      <c r="L82" s="48">
        <v>0</v>
      </c>
      <c r="M82" s="48">
        <v>0</v>
      </c>
      <c r="N82" s="48">
        <v>0</v>
      </c>
      <c r="O82" s="35">
        <v>0</v>
      </c>
      <c r="P82" s="40"/>
    </row>
    <row r="83" spans="1:16" ht="27.75" customHeight="1">
      <c r="A83" s="51"/>
      <c r="B83" s="51"/>
      <c r="C83" s="50" t="s">
        <v>200</v>
      </c>
      <c r="D83" s="75">
        <f>8074540+1986212+31965-3037272</f>
        <v>7055445</v>
      </c>
      <c r="E83" s="75">
        <v>112669</v>
      </c>
      <c r="F83" s="75">
        <f t="shared" si="4"/>
        <v>0</v>
      </c>
      <c r="G83" s="75">
        <v>0</v>
      </c>
      <c r="H83" s="75">
        <v>0</v>
      </c>
      <c r="I83" s="75">
        <v>0</v>
      </c>
      <c r="J83" s="53">
        <v>0</v>
      </c>
      <c r="K83" s="75">
        <f t="shared" si="27"/>
        <v>0</v>
      </c>
      <c r="L83" s="75">
        <v>0</v>
      </c>
      <c r="M83" s="75">
        <v>0</v>
      </c>
      <c r="N83" s="75">
        <v>0</v>
      </c>
      <c r="O83" s="53">
        <v>0</v>
      </c>
      <c r="P83" s="39" t="s">
        <v>188</v>
      </c>
    </row>
    <row r="84" spans="1:16" ht="54.75" customHeight="1">
      <c r="A84" s="51"/>
      <c r="B84" s="51"/>
      <c r="C84" s="34" t="s">
        <v>54</v>
      </c>
      <c r="D84" s="48">
        <f>1539465+384767+2124000-3983288</f>
        <v>64944</v>
      </c>
      <c r="E84" s="48">
        <v>0</v>
      </c>
      <c r="F84" s="48">
        <f t="shared" si="4"/>
        <v>0</v>
      </c>
      <c r="G84" s="48">
        <v>0</v>
      </c>
      <c r="H84" s="48">
        <v>0</v>
      </c>
      <c r="I84" s="48">
        <v>0</v>
      </c>
      <c r="J84" s="35">
        <v>0</v>
      </c>
      <c r="K84" s="48">
        <f t="shared" si="27"/>
        <v>0</v>
      </c>
      <c r="L84" s="48">
        <v>0</v>
      </c>
      <c r="M84" s="48">
        <v>0</v>
      </c>
      <c r="N84" s="48">
        <v>0</v>
      </c>
      <c r="O84" s="35">
        <v>0</v>
      </c>
      <c r="P84" s="39"/>
    </row>
    <row r="85" spans="1:16" ht="41.25" customHeight="1">
      <c r="A85" s="51"/>
      <c r="B85" s="51"/>
      <c r="C85" s="50" t="s">
        <v>163</v>
      </c>
      <c r="D85" s="75">
        <f>8793051+2198163+1108500-7923349</f>
        <v>4176365</v>
      </c>
      <c r="E85" s="75">
        <v>95479</v>
      </c>
      <c r="F85" s="75">
        <f t="shared" si="4"/>
        <v>0</v>
      </c>
      <c r="G85" s="75">
        <v>0</v>
      </c>
      <c r="H85" s="75">
        <v>0</v>
      </c>
      <c r="I85" s="75">
        <v>0</v>
      </c>
      <c r="J85" s="53">
        <v>0</v>
      </c>
      <c r="K85" s="75">
        <f t="shared" si="27"/>
        <v>0</v>
      </c>
      <c r="L85" s="75">
        <v>0</v>
      </c>
      <c r="M85" s="75">
        <v>0</v>
      </c>
      <c r="N85" s="75">
        <v>0</v>
      </c>
      <c r="O85" s="53">
        <v>0</v>
      </c>
      <c r="P85" s="39"/>
    </row>
    <row r="86" spans="1:16" ht="41.25" customHeight="1">
      <c r="A86" s="51"/>
      <c r="B86" s="51"/>
      <c r="C86" s="34" t="s">
        <v>55</v>
      </c>
      <c r="D86" s="48">
        <f>1407292+351723+3170000-4864071</f>
        <v>64944</v>
      </c>
      <c r="E86" s="48">
        <v>0</v>
      </c>
      <c r="F86" s="48">
        <f t="shared" si="4"/>
        <v>0</v>
      </c>
      <c r="G86" s="48">
        <v>0</v>
      </c>
      <c r="H86" s="48">
        <v>0</v>
      </c>
      <c r="I86" s="48">
        <v>0</v>
      </c>
      <c r="J86" s="35">
        <v>0</v>
      </c>
      <c r="K86" s="48">
        <f t="shared" si="27"/>
        <v>0</v>
      </c>
      <c r="L86" s="48">
        <v>0</v>
      </c>
      <c r="M86" s="48">
        <v>0</v>
      </c>
      <c r="N86" s="48">
        <v>0</v>
      </c>
      <c r="O86" s="35">
        <v>0</v>
      </c>
      <c r="P86" s="39"/>
    </row>
    <row r="87" spans="1:16" ht="40.5" customHeight="1">
      <c r="A87" s="51"/>
      <c r="B87" s="51"/>
      <c r="C87" s="34" t="s">
        <v>180</v>
      </c>
      <c r="D87" s="48">
        <f>2035151+508688+616000-3086329</f>
        <v>73510</v>
      </c>
      <c r="E87" s="48">
        <v>0</v>
      </c>
      <c r="F87" s="48">
        <f t="shared" si="4"/>
        <v>0</v>
      </c>
      <c r="G87" s="48">
        <v>0</v>
      </c>
      <c r="H87" s="48">
        <v>0</v>
      </c>
      <c r="I87" s="48">
        <v>0</v>
      </c>
      <c r="J87" s="35">
        <v>0</v>
      </c>
      <c r="K87" s="48">
        <f t="shared" si="27"/>
        <v>0</v>
      </c>
      <c r="L87" s="48">
        <v>0</v>
      </c>
      <c r="M87" s="48">
        <v>0</v>
      </c>
      <c r="N87" s="48">
        <v>0</v>
      </c>
      <c r="O87" s="35">
        <v>0</v>
      </c>
      <c r="P87" s="39"/>
    </row>
    <row r="88" spans="1:16" ht="27" customHeight="1">
      <c r="A88" s="51"/>
      <c r="B88" s="51"/>
      <c r="C88" s="50" t="s">
        <v>56</v>
      </c>
      <c r="D88" s="75">
        <f>8385715+3593878+1050000-4863423</f>
        <v>8166170</v>
      </c>
      <c r="E88" s="75">
        <v>0</v>
      </c>
      <c r="F88" s="75">
        <f t="shared" si="4"/>
        <v>0</v>
      </c>
      <c r="G88" s="75">
        <v>0</v>
      </c>
      <c r="H88" s="75">
        <v>0</v>
      </c>
      <c r="I88" s="75">
        <v>0</v>
      </c>
      <c r="J88" s="53">
        <v>0</v>
      </c>
      <c r="K88" s="75">
        <f t="shared" si="27"/>
        <v>0</v>
      </c>
      <c r="L88" s="75">
        <v>0</v>
      </c>
      <c r="M88" s="75">
        <v>0</v>
      </c>
      <c r="N88" s="75">
        <v>0</v>
      </c>
      <c r="O88" s="53">
        <v>0</v>
      </c>
      <c r="P88" s="39"/>
    </row>
    <row r="89" spans="1:16" ht="40.5" customHeight="1">
      <c r="A89" s="51"/>
      <c r="B89" s="51"/>
      <c r="C89" s="34" t="s">
        <v>57</v>
      </c>
      <c r="D89" s="48">
        <f>1182407+294601+323000-1667555</f>
        <v>132453</v>
      </c>
      <c r="E89" s="48">
        <v>0</v>
      </c>
      <c r="F89" s="48">
        <f t="shared" si="4"/>
        <v>0</v>
      </c>
      <c r="G89" s="48">
        <v>0</v>
      </c>
      <c r="H89" s="48">
        <v>0</v>
      </c>
      <c r="I89" s="48">
        <v>0</v>
      </c>
      <c r="J89" s="35">
        <v>0</v>
      </c>
      <c r="K89" s="48">
        <f t="shared" si="27"/>
        <v>0</v>
      </c>
      <c r="L89" s="48">
        <v>0</v>
      </c>
      <c r="M89" s="48">
        <v>0</v>
      </c>
      <c r="N89" s="48">
        <v>0</v>
      </c>
      <c r="O89" s="35">
        <v>0</v>
      </c>
      <c r="P89" s="39"/>
    </row>
    <row r="90" spans="1:16" ht="27.75" customHeight="1">
      <c r="A90" s="51"/>
      <c r="B90" s="51"/>
      <c r="C90" s="50" t="s">
        <v>201</v>
      </c>
      <c r="D90" s="75">
        <v>0</v>
      </c>
      <c r="E90" s="75">
        <v>0</v>
      </c>
      <c r="F90" s="75">
        <f t="shared" si="4"/>
        <v>30431</v>
      </c>
      <c r="G90" s="75">
        <v>30431</v>
      </c>
      <c r="H90" s="75">
        <v>0</v>
      </c>
      <c r="I90" s="75">
        <v>0</v>
      </c>
      <c r="J90" s="53">
        <v>0</v>
      </c>
      <c r="K90" s="75">
        <f t="shared" si="27"/>
        <v>30431</v>
      </c>
      <c r="L90" s="75">
        <v>30431</v>
      </c>
      <c r="M90" s="75">
        <v>0</v>
      </c>
      <c r="N90" s="75">
        <v>0</v>
      </c>
      <c r="O90" s="53">
        <v>0</v>
      </c>
      <c r="P90" s="39"/>
    </row>
    <row r="91" spans="1:16" ht="42" customHeight="1">
      <c r="A91" s="51"/>
      <c r="B91" s="51"/>
      <c r="C91" s="34" t="s">
        <v>181</v>
      </c>
      <c r="D91" s="48">
        <v>0</v>
      </c>
      <c r="E91" s="48">
        <v>0</v>
      </c>
      <c r="F91" s="48">
        <f t="shared" si="4"/>
        <v>1500000</v>
      </c>
      <c r="G91" s="48">
        <v>1000000</v>
      </c>
      <c r="H91" s="48">
        <v>0</v>
      </c>
      <c r="I91" s="48">
        <v>500000</v>
      </c>
      <c r="J91" s="35">
        <v>0</v>
      </c>
      <c r="K91" s="48">
        <f t="shared" si="27"/>
        <v>1123438</v>
      </c>
      <c r="L91" s="48">
        <v>786868</v>
      </c>
      <c r="M91" s="48">
        <v>0</v>
      </c>
      <c r="N91" s="48">
        <v>336570</v>
      </c>
      <c r="O91" s="35">
        <v>0</v>
      </c>
      <c r="P91" s="39"/>
    </row>
    <row r="92" spans="1:16" ht="28.5" customHeight="1">
      <c r="A92" s="51"/>
      <c r="B92" s="51"/>
      <c r="C92" s="34" t="s">
        <v>42</v>
      </c>
      <c r="D92" s="35">
        <v>0</v>
      </c>
      <c r="E92" s="35">
        <v>0</v>
      </c>
      <c r="F92" s="35">
        <f t="shared" si="4"/>
        <v>109000</v>
      </c>
      <c r="G92" s="35">
        <v>109000</v>
      </c>
      <c r="H92" s="35">
        <v>0</v>
      </c>
      <c r="I92" s="35">
        <v>0</v>
      </c>
      <c r="J92" s="35">
        <v>0</v>
      </c>
      <c r="K92" s="35">
        <f t="shared" si="27"/>
        <v>26778</v>
      </c>
      <c r="L92" s="35">
        <v>26778</v>
      </c>
      <c r="M92" s="35">
        <v>0</v>
      </c>
      <c r="N92" s="35">
        <v>0</v>
      </c>
      <c r="O92" s="35">
        <v>0</v>
      </c>
      <c r="P92" s="39"/>
    </row>
    <row r="93" spans="1:16" ht="17.25" customHeight="1">
      <c r="A93" s="51"/>
      <c r="B93" s="54"/>
      <c r="C93" s="34" t="s">
        <v>58</v>
      </c>
      <c r="D93" s="35">
        <v>0</v>
      </c>
      <c r="E93" s="35">
        <v>0</v>
      </c>
      <c r="F93" s="35">
        <f t="shared" si="4"/>
        <v>856000</v>
      </c>
      <c r="G93" s="35">
        <v>856000</v>
      </c>
      <c r="H93" s="35">
        <v>0</v>
      </c>
      <c r="I93" s="35">
        <v>0</v>
      </c>
      <c r="J93" s="35">
        <v>0</v>
      </c>
      <c r="K93" s="35">
        <f t="shared" si="27"/>
        <v>819478</v>
      </c>
      <c r="L93" s="35">
        <v>819478</v>
      </c>
      <c r="M93" s="35">
        <v>0</v>
      </c>
      <c r="N93" s="35">
        <v>0</v>
      </c>
      <c r="O93" s="35">
        <v>0</v>
      </c>
      <c r="P93" s="40"/>
    </row>
    <row r="94" spans="1:16" s="30" customFormat="1" ht="17.25" customHeight="1">
      <c r="A94" s="55"/>
      <c r="B94" s="43" t="s">
        <v>146</v>
      </c>
      <c r="C94" s="44" t="s">
        <v>147</v>
      </c>
      <c r="D94" s="58">
        <f t="shared" ref="D94:O94" si="28">D95</f>
        <v>0</v>
      </c>
      <c r="E94" s="58">
        <f t="shared" si="28"/>
        <v>0</v>
      </c>
      <c r="F94" s="58">
        <f t="shared" si="28"/>
        <v>130528</v>
      </c>
      <c r="G94" s="58">
        <f t="shared" si="28"/>
        <v>130528</v>
      </c>
      <c r="H94" s="58">
        <f t="shared" si="28"/>
        <v>0</v>
      </c>
      <c r="I94" s="58">
        <f t="shared" si="28"/>
        <v>0</v>
      </c>
      <c r="J94" s="58">
        <f t="shared" si="28"/>
        <v>0</v>
      </c>
      <c r="K94" s="58">
        <f t="shared" si="28"/>
        <v>96570</v>
      </c>
      <c r="L94" s="58">
        <f t="shared" si="28"/>
        <v>96570</v>
      </c>
      <c r="M94" s="58">
        <f t="shared" si="28"/>
        <v>0</v>
      </c>
      <c r="N94" s="58">
        <f t="shared" si="28"/>
        <v>0</v>
      </c>
      <c r="O94" s="58">
        <f t="shared" si="28"/>
        <v>0</v>
      </c>
      <c r="P94" s="76"/>
    </row>
    <row r="95" spans="1:16" ht="42.75" customHeight="1">
      <c r="A95" s="51"/>
      <c r="B95" s="54"/>
      <c r="C95" s="77" t="s">
        <v>148</v>
      </c>
      <c r="D95" s="35">
        <v>0</v>
      </c>
      <c r="E95" s="35"/>
      <c r="F95" s="35">
        <f>SUM(G95:J95)</f>
        <v>130528</v>
      </c>
      <c r="G95" s="48">
        <v>130528</v>
      </c>
      <c r="H95" s="35">
        <v>0</v>
      </c>
      <c r="I95" s="35">
        <v>0</v>
      </c>
      <c r="J95" s="35">
        <v>0</v>
      </c>
      <c r="K95" s="35">
        <f>SUM(L95:O95)</f>
        <v>96570</v>
      </c>
      <c r="L95" s="48">
        <v>96570</v>
      </c>
      <c r="M95" s="35">
        <v>0</v>
      </c>
      <c r="N95" s="35">
        <v>0</v>
      </c>
      <c r="O95" s="35">
        <v>0</v>
      </c>
      <c r="P95" s="18" t="s">
        <v>188</v>
      </c>
    </row>
    <row r="96" spans="1:16" s="31" customFormat="1" ht="15.75" customHeight="1">
      <c r="A96" s="42"/>
      <c r="B96" s="56" t="s">
        <v>59</v>
      </c>
      <c r="C96" s="57" t="s">
        <v>115</v>
      </c>
      <c r="D96" s="58">
        <f t="shared" ref="D96:O96" si="29">D97</f>
        <v>29338527</v>
      </c>
      <c r="E96" s="58">
        <f t="shared" si="29"/>
        <v>0</v>
      </c>
      <c r="F96" s="58">
        <f t="shared" si="29"/>
        <v>0</v>
      </c>
      <c r="G96" s="58">
        <f t="shared" si="29"/>
        <v>0</v>
      </c>
      <c r="H96" s="58">
        <f t="shared" si="29"/>
        <v>0</v>
      </c>
      <c r="I96" s="58">
        <f t="shared" si="29"/>
        <v>0</v>
      </c>
      <c r="J96" s="58">
        <f t="shared" si="29"/>
        <v>0</v>
      </c>
      <c r="K96" s="58">
        <f t="shared" si="29"/>
        <v>0</v>
      </c>
      <c r="L96" s="58">
        <f t="shared" si="29"/>
        <v>0</v>
      </c>
      <c r="M96" s="58">
        <f t="shared" si="29"/>
        <v>0</v>
      </c>
      <c r="N96" s="58">
        <f t="shared" si="29"/>
        <v>0</v>
      </c>
      <c r="O96" s="58">
        <f t="shared" si="29"/>
        <v>0</v>
      </c>
      <c r="P96" s="73"/>
    </row>
    <row r="97" spans="1:16" ht="27" customHeight="1">
      <c r="A97" s="32"/>
      <c r="B97" s="33"/>
      <c r="C97" s="34" t="s">
        <v>60</v>
      </c>
      <c r="D97" s="35">
        <f>20274592+9063935</f>
        <v>29338527</v>
      </c>
      <c r="E97" s="35">
        <v>0</v>
      </c>
      <c r="F97" s="35">
        <f>SUM(G97:J97)</f>
        <v>0</v>
      </c>
      <c r="G97" s="35">
        <v>0</v>
      </c>
      <c r="H97" s="35">
        <v>0</v>
      </c>
      <c r="I97" s="35">
        <v>0</v>
      </c>
      <c r="J97" s="35">
        <v>0</v>
      </c>
      <c r="K97" s="35">
        <f>SUM(L97:O97)</f>
        <v>0</v>
      </c>
      <c r="L97" s="35">
        <v>0</v>
      </c>
      <c r="M97" s="35">
        <v>0</v>
      </c>
      <c r="N97" s="35">
        <v>0</v>
      </c>
      <c r="O97" s="35">
        <v>0</v>
      </c>
      <c r="P97" s="59" t="s">
        <v>18</v>
      </c>
    </row>
    <row r="98" spans="1:16" s="31" customFormat="1" ht="15.75" customHeight="1">
      <c r="A98" s="42"/>
      <c r="B98" s="43" t="s">
        <v>61</v>
      </c>
      <c r="C98" s="44" t="s">
        <v>116</v>
      </c>
      <c r="D98" s="45">
        <f t="shared" ref="D98:J98" si="30">SUM(D99:D101)</f>
        <v>18914190</v>
      </c>
      <c r="E98" s="45">
        <f t="shared" si="30"/>
        <v>5045851</v>
      </c>
      <c r="F98" s="45">
        <f t="shared" si="30"/>
        <v>0</v>
      </c>
      <c r="G98" s="45">
        <f t="shared" si="30"/>
        <v>0</v>
      </c>
      <c r="H98" s="45">
        <f t="shared" si="30"/>
        <v>0</v>
      </c>
      <c r="I98" s="45">
        <f t="shared" si="30"/>
        <v>0</v>
      </c>
      <c r="J98" s="45">
        <f t="shared" si="30"/>
        <v>0</v>
      </c>
      <c r="K98" s="45">
        <f t="shared" ref="K98:O98" si="31">SUM(K99:K101)</f>
        <v>0</v>
      </c>
      <c r="L98" s="45">
        <f t="shared" si="31"/>
        <v>0</v>
      </c>
      <c r="M98" s="45">
        <f t="shared" si="31"/>
        <v>0</v>
      </c>
      <c r="N98" s="45">
        <f t="shared" si="31"/>
        <v>0</v>
      </c>
      <c r="O98" s="45">
        <f t="shared" si="31"/>
        <v>0</v>
      </c>
      <c r="P98" s="29"/>
    </row>
    <row r="99" spans="1:16" s="49" customFormat="1" ht="18" customHeight="1">
      <c r="A99" s="32"/>
      <c r="B99" s="32"/>
      <c r="C99" s="34" t="s">
        <v>62</v>
      </c>
      <c r="D99" s="35">
        <v>73912</v>
      </c>
      <c r="E99" s="35">
        <v>0</v>
      </c>
      <c r="F99" s="35">
        <f>SUM(G99:J99)</f>
        <v>0</v>
      </c>
      <c r="G99" s="35">
        <v>0</v>
      </c>
      <c r="H99" s="35">
        <v>0</v>
      </c>
      <c r="I99" s="35">
        <v>0</v>
      </c>
      <c r="J99" s="35">
        <v>0</v>
      </c>
      <c r="K99" s="35">
        <f>SUM(L99:O99)</f>
        <v>0</v>
      </c>
      <c r="L99" s="35">
        <v>0</v>
      </c>
      <c r="M99" s="35">
        <v>0</v>
      </c>
      <c r="N99" s="35">
        <v>0</v>
      </c>
      <c r="O99" s="35">
        <v>0</v>
      </c>
      <c r="P99" s="36" t="s">
        <v>18</v>
      </c>
    </row>
    <row r="100" spans="1:16" ht="43.5" customHeight="1">
      <c r="A100" s="32"/>
      <c r="B100" s="33"/>
      <c r="C100" s="38" t="s">
        <v>182</v>
      </c>
      <c r="D100" s="35">
        <f>1620362+285946</f>
        <v>1906308</v>
      </c>
      <c r="E100" s="35">
        <v>0</v>
      </c>
      <c r="F100" s="35">
        <f>SUM(G100:J100)</f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f>SUM(L100:O100)</f>
        <v>0</v>
      </c>
      <c r="L100" s="35">
        <v>0</v>
      </c>
      <c r="M100" s="35">
        <v>0</v>
      </c>
      <c r="N100" s="35">
        <v>0</v>
      </c>
      <c r="O100" s="35">
        <v>0</v>
      </c>
      <c r="P100" s="39"/>
    </row>
    <row r="101" spans="1:16" ht="39" customHeight="1">
      <c r="A101" s="54"/>
      <c r="B101" s="54"/>
      <c r="C101" s="34" t="s">
        <v>202</v>
      </c>
      <c r="D101" s="48">
        <f>11617148+2382789+2802033+132000</f>
        <v>16933970</v>
      </c>
      <c r="E101" s="48">
        <v>5045851</v>
      </c>
      <c r="F101" s="35">
        <f t="shared" si="4"/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f t="shared" ref="K101" si="32">SUM(L101:O101)</f>
        <v>0</v>
      </c>
      <c r="L101" s="35">
        <v>0</v>
      </c>
      <c r="M101" s="35">
        <v>0</v>
      </c>
      <c r="N101" s="35">
        <v>0</v>
      </c>
      <c r="O101" s="35">
        <v>0</v>
      </c>
      <c r="P101" s="40"/>
    </row>
    <row r="102" spans="1:16" s="66" customFormat="1" ht="15.75" customHeight="1">
      <c r="A102" s="62" t="s">
        <v>63</v>
      </c>
      <c r="B102" s="62"/>
      <c r="C102" s="63" t="s">
        <v>117</v>
      </c>
      <c r="D102" s="64">
        <f t="shared" ref="D102:J102" si="33">D103+D105</f>
        <v>2763747</v>
      </c>
      <c r="E102" s="64">
        <f t="shared" si="33"/>
        <v>0</v>
      </c>
      <c r="F102" s="64">
        <f t="shared" si="33"/>
        <v>0</v>
      </c>
      <c r="G102" s="64">
        <f t="shared" si="33"/>
        <v>0</v>
      </c>
      <c r="H102" s="64">
        <f t="shared" si="33"/>
        <v>0</v>
      </c>
      <c r="I102" s="64">
        <f t="shared" si="33"/>
        <v>0</v>
      </c>
      <c r="J102" s="64">
        <f t="shared" si="33"/>
        <v>0</v>
      </c>
      <c r="K102" s="64">
        <f t="shared" ref="K102:O102" si="34">K103+K105</f>
        <v>0</v>
      </c>
      <c r="L102" s="64">
        <f t="shared" si="34"/>
        <v>0</v>
      </c>
      <c r="M102" s="64">
        <f t="shared" si="34"/>
        <v>0</v>
      </c>
      <c r="N102" s="64">
        <f t="shared" si="34"/>
        <v>0</v>
      </c>
      <c r="O102" s="64">
        <f t="shared" si="34"/>
        <v>0</v>
      </c>
      <c r="P102" s="65"/>
    </row>
    <row r="103" spans="1:16" s="82" customFormat="1" ht="15.75" hidden="1" customHeight="1">
      <c r="A103" s="47"/>
      <c r="B103" s="78" t="s">
        <v>64</v>
      </c>
      <c r="C103" s="79" t="s">
        <v>118</v>
      </c>
      <c r="D103" s="80">
        <f t="shared" ref="D103:O103" si="35">D104</f>
        <v>0</v>
      </c>
      <c r="E103" s="80">
        <f t="shared" si="35"/>
        <v>0</v>
      </c>
      <c r="F103" s="80">
        <f t="shared" si="35"/>
        <v>0</v>
      </c>
      <c r="G103" s="80">
        <f t="shared" si="35"/>
        <v>0</v>
      </c>
      <c r="H103" s="80">
        <f t="shared" si="35"/>
        <v>0</v>
      </c>
      <c r="I103" s="80">
        <f t="shared" si="35"/>
        <v>0</v>
      </c>
      <c r="J103" s="80">
        <f t="shared" si="35"/>
        <v>0</v>
      </c>
      <c r="K103" s="80">
        <f t="shared" si="35"/>
        <v>0</v>
      </c>
      <c r="L103" s="80">
        <f t="shared" si="35"/>
        <v>0</v>
      </c>
      <c r="M103" s="80">
        <f t="shared" si="35"/>
        <v>0</v>
      </c>
      <c r="N103" s="80">
        <f t="shared" si="35"/>
        <v>0</v>
      </c>
      <c r="O103" s="80">
        <f t="shared" si="35"/>
        <v>0</v>
      </c>
      <c r="P103" s="81"/>
    </row>
    <row r="104" spans="1:16" ht="27.75" hidden="1" customHeight="1">
      <c r="A104" s="32"/>
      <c r="B104" s="33"/>
      <c r="C104" s="61" t="s">
        <v>65</v>
      </c>
      <c r="D104" s="48">
        <f>729725+128775+348500+61500-1268500</f>
        <v>0</v>
      </c>
      <c r="E104" s="48"/>
      <c r="F104" s="35">
        <f>SUM(G104:J104)</f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f>SUM(L104:O104)</f>
        <v>0</v>
      </c>
      <c r="L104" s="35">
        <v>0</v>
      </c>
      <c r="M104" s="35">
        <v>0</v>
      </c>
      <c r="N104" s="35">
        <v>0</v>
      </c>
      <c r="O104" s="35">
        <v>0</v>
      </c>
      <c r="P104" s="41" t="s">
        <v>18</v>
      </c>
    </row>
    <row r="105" spans="1:16" s="31" customFormat="1" ht="15.75" customHeight="1">
      <c r="A105" s="42"/>
      <c r="B105" s="43" t="s">
        <v>66</v>
      </c>
      <c r="C105" s="44" t="s">
        <v>119</v>
      </c>
      <c r="D105" s="45">
        <f t="shared" ref="D105:J105" si="36">SUM(D106:D107)</f>
        <v>2763747</v>
      </c>
      <c r="E105" s="45">
        <f t="shared" si="36"/>
        <v>0</v>
      </c>
      <c r="F105" s="45">
        <f t="shared" si="36"/>
        <v>0</v>
      </c>
      <c r="G105" s="45">
        <f t="shared" si="36"/>
        <v>0</v>
      </c>
      <c r="H105" s="45">
        <f t="shared" si="36"/>
        <v>0</v>
      </c>
      <c r="I105" s="45">
        <f t="shared" si="36"/>
        <v>0</v>
      </c>
      <c r="J105" s="45">
        <f t="shared" si="36"/>
        <v>0</v>
      </c>
      <c r="K105" s="45">
        <f t="shared" ref="K105:O105" si="37">SUM(K106:K107)</f>
        <v>0</v>
      </c>
      <c r="L105" s="45">
        <f t="shared" si="37"/>
        <v>0</v>
      </c>
      <c r="M105" s="45">
        <f t="shared" si="37"/>
        <v>0</v>
      </c>
      <c r="N105" s="45">
        <f t="shared" si="37"/>
        <v>0</v>
      </c>
      <c r="O105" s="45">
        <f t="shared" si="37"/>
        <v>0</v>
      </c>
      <c r="P105" s="29"/>
    </row>
    <row r="106" spans="1:16" ht="16.5" customHeight="1">
      <c r="A106" s="32"/>
      <c r="B106" s="33"/>
      <c r="C106" s="38" t="s">
        <v>67</v>
      </c>
      <c r="D106" s="35">
        <f>2336434+137438+274875</f>
        <v>2748747</v>
      </c>
      <c r="E106" s="35">
        <v>0</v>
      </c>
      <c r="F106" s="35">
        <f>SUM(G106:J106)</f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f>SUM(L106:O106)</f>
        <v>0</v>
      </c>
      <c r="L106" s="35">
        <v>0</v>
      </c>
      <c r="M106" s="35">
        <v>0</v>
      </c>
      <c r="N106" s="35">
        <v>0</v>
      </c>
      <c r="O106" s="35">
        <v>0</v>
      </c>
      <c r="P106" s="36" t="s">
        <v>18</v>
      </c>
    </row>
    <row r="107" spans="1:16" ht="14.25" customHeight="1">
      <c r="A107" s="54"/>
      <c r="B107" s="54"/>
      <c r="C107" s="34" t="s">
        <v>68</v>
      </c>
      <c r="D107" s="35">
        <f>12750+2250</f>
        <v>15000</v>
      </c>
      <c r="E107" s="35">
        <v>0</v>
      </c>
      <c r="F107" s="35">
        <f t="shared" si="4"/>
        <v>0</v>
      </c>
      <c r="G107" s="35">
        <v>0</v>
      </c>
      <c r="H107" s="35">
        <v>0</v>
      </c>
      <c r="I107" s="35">
        <v>0</v>
      </c>
      <c r="J107" s="35">
        <v>0</v>
      </c>
      <c r="K107" s="35">
        <f t="shared" ref="K107" si="38">SUM(L107:O107)</f>
        <v>0</v>
      </c>
      <c r="L107" s="35">
        <v>0</v>
      </c>
      <c r="M107" s="35">
        <v>0</v>
      </c>
      <c r="N107" s="35">
        <v>0</v>
      </c>
      <c r="O107" s="35">
        <v>0</v>
      </c>
      <c r="P107" s="40"/>
    </row>
    <row r="108" spans="1:16" s="66" customFormat="1" ht="14.25" customHeight="1">
      <c r="A108" s="62" t="s">
        <v>69</v>
      </c>
      <c r="B108" s="62"/>
      <c r="C108" s="63" t="s">
        <v>120</v>
      </c>
      <c r="D108" s="64">
        <f t="shared" ref="D108:O108" si="39">D109</f>
        <v>0</v>
      </c>
      <c r="E108" s="64">
        <f t="shared" si="39"/>
        <v>0</v>
      </c>
      <c r="F108" s="64">
        <f t="shared" si="39"/>
        <v>11044200</v>
      </c>
      <c r="G108" s="64">
        <f t="shared" si="39"/>
        <v>11044200</v>
      </c>
      <c r="H108" s="64">
        <f t="shared" si="39"/>
        <v>0</v>
      </c>
      <c r="I108" s="64">
        <f t="shared" si="39"/>
        <v>0</v>
      </c>
      <c r="J108" s="64">
        <f t="shared" si="39"/>
        <v>0</v>
      </c>
      <c r="K108" s="64">
        <f t="shared" si="39"/>
        <v>10033286</v>
      </c>
      <c r="L108" s="64">
        <f t="shared" si="39"/>
        <v>10033286</v>
      </c>
      <c r="M108" s="64">
        <f t="shared" si="39"/>
        <v>0</v>
      </c>
      <c r="N108" s="64">
        <f t="shared" si="39"/>
        <v>0</v>
      </c>
      <c r="O108" s="64">
        <f t="shared" si="39"/>
        <v>0</v>
      </c>
      <c r="P108" s="65"/>
    </row>
    <row r="109" spans="1:16" s="31" customFormat="1" ht="15.75" customHeight="1">
      <c r="A109" s="25"/>
      <c r="B109" s="43" t="s">
        <v>70</v>
      </c>
      <c r="C109" s="44" t="s">
        <v>121</v>
      </c>
      <c r="D109" s="45">
        <f t="shared" ref="D109:J109" si="40">SUM(D110:D111)</f>
        <v>0</v>
      </c>
      <c r="E109" s="45">
        <f t="shared" si="40"/>
        <v>0</v>
      </c>
      <c r="F109" s="45">
        <f t="shared" si="40"/>
        <v>11044200</v>
      </c>
      <c r="G109" s="45">
        <f t="shared" si="40"/>
        <v>11044200</v>
      </c>
      <c r="H109" s="45">
        <f t="shared" si="40"/>
        <v>0</v>
      </c>
      <c r="I109" s="45">
        <f t="shared" si="40"/>
        <v>0</v>
      </c>
      <c r="J109" s="45">
        <f t="shared" si="40"/>
        <v>0</v>
      </c>
      <c r="K109" s="45">
        <f t="shared" ref="K109:O109" si="41">SUM(K110:K111)</f>
        <v>10033286</v>
      </c>
      <c r="L109" s="45">
        <f t="shared" si="41"/>
        <v>10033286</v>
      </c>
      <c r="M109" s="45">
        <f t="shared" si="41"/>
        <v>0</v>
      </c>
      <c r="N109" s="45">
        <f t="shared" si="41"/>
        <v>0</v>
      </c>
      <c r="O109" s="45">
        <f t="shared" si="41"/>
        <v>0</v>
      </c>
      <c r="P109" s="29"/>
    </row>
    <row r="110" spans="1:16" ht="28.5" customHeight="1">
      <c r="A110" s="32"/>
      <c r="B110" s="33"/>
      <c r="C110" s="34" t="s">
        <v>203</v>
      </c>
      <c r="D110" s="35">
        <v>0</v>
      </c>
      <c r="E110" s="35">
        <v>0</v>
      </c>
      <c r="F110" s="35">
        <f>SUM(G110:J110)</f>
        <v>10000000</v>
      </c>
      <c r="G110" s="35">
        <v>10000000</v>
      </c>
      <c r="H110" s="35">
        <v>0</v>
      </c>
      <c r="I110" s="35">
        <v>0</v>
      </c>
      <c r="J110" s="35">
        <v>0</v>
      </c>
      <c r="K110" s="35">
        <f>SUM(L110:O110)</f>
        <v>10000000</v>
      </c>
      <c r="L110" s="35">
        <v>10000000</v>
      </c>
      <c r="M110" s="35">
        <v>0</v>
      </c>
      <c r="N110" s="35">
        <v>0</v>
      </c>
      <c r="O110" s="35">
        <v>0</v>
      </c>
      <c r="P110" s="36" t="s">
        <v>18</v>
      </c>
    </row>
    <row r="111" spans="1:16" ht="27" customHeight="1">
      <c r="A111" s="51"/>
      <c r="B111" s="51"/>
      <c r="C111" s="50" t="s">
        <v>71</v>
      </c>
      <c r="D111" s="53">
        <v>0</v>
      </c>
      <c r="E111" s="53">
        <v>0</v>
      </c>
      <c r="F111" s="53">
        <f t="shared" si="4"/>
        <v>1044200</v>
      </c>
      <c r="G111" s="53">
        <v>1044200</v>
      </c>
      <c r="H111" s="53">
        <v>0</v>
      </c>
      <c r="I111" s="53">
        <v>0</v>
      </c>
      <c r="J111" s="53">
        <v>0</v>
      </c>
      <c r="K111" s="53">
        <f t="shared" ref="K111" si="42">SUM(L111:O111)</f>
        <v>33286</v>
      </c>
      <c r="L111" s="53">
        <v>33286</v>
      </c>
      <c r="M111" s="53">
        <v>0</v>
      </c>
      <c r="N111" s="53">
        <v>0</v>
      </c>
      <c r="O111" s="53">
        <v>0</v>
      </c>
      <c r="P111" s="40"/>
    </row>
    <row r="112" spans="1:16" s="66" customFormat="1" ht="15" customHeight="1">
      <c r="A112" s="62" t="s">
        <v>72</v>
      </c>
      <c r="B112" s="62"/>
      <c r="C112" s="63" t="s">
        <v>122</v>
      </c>
      <c r="D112" s="64">
        <f t="shared" ref="D112:J112" si="43">D113+D115+D129</f>
        <v>318305</v>
      </c>
      <c r="E112" s="64">
        <f t="shared" si="43"/>
        <v>0</v>
      </c>
      <c r="F112" s="64">
        <f t="shared" si="43"/>
        <v>2700494</v>
      </c>
      <c r="G112" s="64">
        <f t="shared" si="43"/>
        <v>2700494</v>
      </c>
      <c r="H112" s="64">
        <f t="shared" si="43"/>
        <v>0</v>
      </c>
      <c r="I112" s="64">
        <f t="shared" si="43"/>
        <v>0</v>
      </c>
      <c r="J112" s="64">
        <f t="shared" si="43"/>
        <v>0</v>
      </c>
      <c r="K112" s="64">
        <f t="shared" ref="K112:O112" si="44">K113+K115+K129</f>
        <v>1760273</v>
      </c>
      <c r="L112" s="64">
        <f t="shared" si="44"/>
        <v>1760273</v>
      </c>
      <c r="M112" s="64">
        <f t="shared" si="44"/>
        <v>0</v>
      </c>
      <c r="N112" s="64">
        <f t="shared" si="44"/>
        <v>0</v>
      </c>
      <c r="O112" s="64">
        <f t="shared" si="44"/>
        <v>0</v>
      </c>
      <c r="P112" s="65"/>
    </row>
    <row r="113" spans="1:16" s="31" customFormat="1" ht="15.75" customHeight="1">
      <c r="A113" s="25"/>
      <c r="B113" s="43" t="s">
        <v>74</v>
      </c>
      <c r="C113" s="44" t="s">
        <v>123</v>
      </c>
      <c r="D113" s="45">
        <f t="shared" ref="D113:O113" si="45">SUM(D114)</f>
        <v>0</v>
      </c>
      <c r="E113" s="45">
        <f t="shared" si="45"/>
        <v>0</v>
      </c>
      <c r="F113" s="45">
        <f t="shared" si="45"/>
        <v>55000</v>
      </c>
      <c r="G113" s="45">
        <f t="shared" si="45"/>
        <v>55000</v>
      </c>
      <c r="H113" s="45">
        <f t="shared" si="45"/>
        <v>0</v>
      </c>
      <c r="I113" s="45">
        <f t="shared" si="45"/>
        <v>0</v>
      </c>
      <c r="J113" s="45">
        <f t="shared" si="45"/>
        <v>0</v>
      </c>
      <c r="K113" s="45">
        <f t="shared" si="45"/>
        <v>25050</v>
      </c>
      <c r="L113" s="45">
        <f t="shared" si="45"/>
        <v>25050</v>
      </c>
      <c r="M113" s="45">
        <f t="shared" si="45"/>
        <v>0</v>
      </c>
      <c r="N113" s="45">
        <f t="shared" si="45"/>
        <v>0</v>
      </c>
      <c r="O113" s="45">
        <f t="shared" si="45"/>
        <v>0</v>
      </c>
      <c r="P113" s="29"/>
    </row>
    <row r="114" spans="1:16" ht="29.25" customHeight="1">
      <c r="A114" s="32"/>
      <c r="B114" s="72"/>
      <c r="C114" s="34" t="s">
        <v>17</v>
      </c>
      <c r="D114" s="35">
        <v>0</v>
      </c>
      <c r="E114" s="35"/>
      <c r="F114" s="35">
        <f>SUM(G114:J114)</f>
        <v>55000</v>
      </c>
      <c r="G114" s="35">
        <f>25000+30000</f>
        <v>55000</v>
      </c>
      <c r="H114" s="35">
        <v>0</v>
      </c>
      <c r="I114" s="35">
        <v>0</v>
      </c>
      <c r="J114" s="35">
        <v>0</v>
      </c>
      <c r="K114" s="35">
        <f>SUM(L114:O114)</f>
        <v>25050</v>
      </c>
      <c r="L114" s="35">
        <v>25050</v>
      </c>
      <c r="M114" s="35">
        <v>0</v>
      </c>
      <c r="N114" s="35">
        <v>0</v>
      </c>
      <c r="O114" s="35">
        <v>0</v>
      </c>
      <c r="P114" s="41" t="s">
        <v>18</v>
      </c>
    </row>
    <row r="115" spans="1:16" s="31" customFormat="1" ht="15.75" customHeight="1">
      <c r="A115" s="42"/>
      <c r="B115" s="56" t="s">
        <v>73</v>
      </c>
      <c r="C115" s="57" t="s">
        <v>124</v>
      </c>
      <c r="D115" s="58">
        <f t="shared" ref="D115:J115" si="46">SUM(D116:D128)</f>
        <v>70300</v>
      </c>
      <c r="E115" s="58">
        <f t="shared" si="46"/>
        <v>0</v>
      </c>
      <c r="F115" s="58">
        <f t="shared" si="46"/>
        <v>2645494</v>
      </c>
      <c r="G115" s="58">
        <f t="shared" si="46"/>
        <v>2645494</v>
      </c>
      <c r="H115" s="58">
        <f t="shared" si="46"/>
        <v>0</v>
      </c>
      <c r="I115" s="58">
        <f t="shared" si="46"/>
        <v>0</v>
      </c>
      <c r="J115" s="58">
        <f t="shared" si="46"/>
        <v>0</v>
      </c>
      <c r="K115" s="58">
        <f t="shared" ref="K115:O115" si="47">SUM(K116:K128)</f>
        <v>1735223</v>
      </c>
      <c r="L115" s="58">
        <f t="shared" si="47"/>
        <v>1735223</v>
      </c>
      <c r="M115" s="58">
        <f t="shared" si="47"/>
        <v>0</v>
      </c>
      <c r="N115" s="58">
        <f t="shared" si="47"/>
        <v>0</v>
      </c>
      <c r="O115" s="58">
        <f t="shared" si="47"/>
        <v>0</v>
      </c>
      <c r="P115" s="73"/>
    </row>
    <row r="116" spans="1:16" ht="29.25" customHeight="1">
      <c r="A116" s="32"/>
      <c r="B116" s="33"/>
      <c r="C116" s="34" t="s">
        <v>183</v>
      </c>
      <c r="D116" s="35">
        <v>0</v>
      </c>
      <c r="E116" s="35">
        <v>0</v>
      </c>
      <c r="F116" s="35">
        <f>SUM(G116:J116)</f>
        <v>400000</v>
      </c>
      <c r="G116" s="35">
        <v>400000</v>
      </c>
      <c r="H116" s="35">
        <v>0</v>
      </c>
      <c r="I116" s="35">
        <v>0</v>
      </c>
      <c r="J116" s="35">
        <v>0</v>
      </c>
      <c r="K116" s="35">
        <f>SUM(L116:O116)</f>
        <v>0</v>
      </c>
      <c r="L116" s="35">
        <v>0</v>
      </c>
      <c r="M116" s="35">
        <v>0</v>
      </c>
      <c r="N116" s="35">
        <v>0</v>
      </c>
      <c r="O116" s="35">
        <v>0</v>
      </c>
      <c r="P116" s="36" t="s">
        <v>18</v>
      </c>
    </row>
    <row r="117" spans="1:16" ht="41.25" customHeight="1">
      <c r="A117" s="32"/>
      <c r="B117" s="33"/>
      <c r="C117" s="83" t="s">
        <v>157</v>
      </c>
      <c r="D117" s="75">
        <v>0</v>
      </c>
      <c r="E117" s="75">
        <v>0</v>
      </c>
      <c r="F117" s="48">
        <f>SUM(G117:J117)</f>
        <v>117500</v>
      </c>
      <c r="G117" s="75">
        <f>130000-12500</f>
        <v>117500</v>
      </c>
      <c r="H117" s="75">
        <v>0</v>
      </c>
      <c r="I117" s="75">
        <v>0</v>
      </c>
      <c r="J117" s="75">
        <v>0</v>
      </c>
      <c r="K117" s="48">
        <f>SUM(L117:O117)</f>
        <v>0</v>
      </c>
      <c r="L117" s="75">
        <v>0</v>
      </c>
      <c r="M117" s="75">
        <v>0</v>
      </c>
      <c r="N117" s="75">
        <v>0</v>
      </c>
      <c r="O117" s="75">
        <v>0</v>
      </c>
      <c r="P117" s="39"/>
    </row>
    <row r="118" spans="1:16" ht="22.5" customHeight="1">
      <c r="A118" s="32"/>
      <c r="B118" s="33"/>
      <c r="C118" s="83" t="s">
        <v>58</v>
      </c>
      <c r="D118" s="75">
        <v>0</v>
      </c>
      <c r="E118" s="75">
        <v>0</v>
      </c>
      <c r="F118" s="48">
        <f>SUM(G118:J118)</f>
        <v>262500</v>
      </c>
      <c r="G118" s="75">
        <f>26700+235800</f>
        <v>262500</v>
      </c>
      <c r="H118" s="75">
        <v>0</v>
      </c>
      <c r="I118" s="75">
        <v>0</v>
      </c>
      <c r="J118" s="75">
        <v>0</v>
      </c>
      <c r="K118" s="48">
        <f>SUM(L118:O118)</f>
        <v>138618</v>
      </c>
      <c r="L118" s="75">
        <v>138618</v>
      </c>
      <c r="M118" s="75">
        <v>0</v>
      </c>
      <c r="N118" s="75">
        <v>0</v>
      </c>
      <c r="O118" s="75">
        <v>0</v>
      </c>
      <c r="P118" s="39"/>
    </row>
    <row r="119" spans="1:16" ht="17.25" hidden="1" customHeight="1">
      <c r="A119" s="51"/>
      <c r="B119" s="51"/>
      <c r="C119" s="50" t="s">
        <v>75</v>
      </c>
      <c r="D119" s="53">
        <v>0</v>
      </c>
      <c r="E119" s="84"/>
      <c r="F119" s="53">
        <f>SUM(G119:J119)</f>
        <v>0</v>
      </c>
      <c r="G119" s="53">
        <f>20000-20000</f>
        <v>0</v>
      </c>
      <c r="H119" s="53">
        <v>0</v>
      </c>
      <c r="I119" s="53">
        <v>0</v>
      </c>
      <c r="J119" s="53">
        <v>0</v>
      </c>
      <c r="K119" s="84">
        <f>SUM(L119:O119)</f>
        <v>0</v>
      </c>
      <c r="L119" s="84">
        <f>20000-20000</f>
        <v>0</v>
      </c>
      <c r="M119" s="84">
        <v>0</v>
      </c>
      <c r="N119" s="84">
        <v>0</v>
      </c>
      <c r="O119" s="84">
        <v>0</v>
      </c>
      <c r="P119" s="39"/>
    </row>
    <row r="120" spans="1:16" ht="16.5" hidden="1" customHeight="1">
      <c r="A120" s="51"/>
      <c r="B120" s="51"/>
      <c r="C120" s="34" t="s">
        <v>156</v>
      </c>
      <c r="D120" s="35">
        <v>0</v>
      </c>
      <c r="E120" s="85"/>
      <c r="F120" s="35">
        <f t="shared" si="4"/>
        <v>0</v>
      </c>
      <c r="G120" s="35">
        <f>30000-30000</f>
        <v>0</v>
      </c>
      <c r="H120" s="35">
        <v>0</v>
      </c>
      <c r="I120" s="35">
        <v>0</v>
      </c>
      <c r="J120" s="35">
        <v>0</v>
      </c>
      <c r="K120" s="85">
        <f t="shared" ref="K120:K128" si="48">SUM(L120:O120)</f>
        <v>0</v>
      </c>
      <c r="L120" s="85">
        <f>30000-30000</f>
        <v>0</v>
      </c>
      <c r="M120" s="85">
        <v>0</v>
      </c>
      <c r="N120" s="85">
        <v>0</v>
      </c>
      <c r="O120" s="85">
        <v>0</v>
      </c>
      <c r="P120" s="39"/>
    </row>
    <row r="121" spans="1:16" ht="17.25" hidden="1" customHeight="1">
      <c r="A121" s="51"/>
      <c r="B121" s="51"/>
      <c r="C121" s="34" t="s">
        <v>76</v>
      </c>
      <c r="D121" s="35">
        <v>0</v>
      </c>
      <c r="E121" s="85"/>
      <c r="F121" s="35">
        <f t="shared" si="4"/>
        <v>0</v>
      </c>
      <c r="G121" s="35">
        <f>90000-90000</f>
        <v>0</v>
      </c>
      <c r="H121" s="35">
        <v>0</v>
      </c>
      <c r="I121" s="35">
        <v>0</v>
      </c>
      <c r="J121" s="35">
        <v>0</v>
      </c>
      <c r="K121" s="85">
        <f t="shared" si="48"/>
        <v>0</v>
      </c>
      <c r="L121" s="85">
        <f>90000-90000</f>
        <v>0</v>
      </c>
      <c r="M121" s="85">
        <v>0</v>
      </c>
      <c r="N121" s="85">
        <v>0</v>
      </c>
      <c r="O121" s="85">
        <v>0</v>
      </c>
      <c r="P121" s="39"/>
    </row>
    <row r="122" spans="1:16" ht="16.5" hidden="1" customHeight="1">
      <c r="A122" s="51"/>
      <c r="B122" s="51"/>
      <c r="C122" s="34" t="s">
        <v>77</v>
      </c>
      <c r="D122" s="35">
        <v>0</v>
      </c>
      <c r="E122" s="85"/>
      <c r="F122" s="35">
        <f t="shared" si="4"/>
        <v>0</v>
      </c>
      <c r="G122" s="35">
        <f>40000-40000</f>
        <v>0</v>
      </c>
      <c r="H122" s="35">
        <v>0</v>
      </c>
      <c r="I122" s="35">
        <v>0</v>
      </c>
      <c r="J122" s="35">
        <v>0</v>
      </c>
      <c r="K122" s="85">
        <f t="shared" si="48"/>
        <v>0</v>
      </c>
      <c r="L122" s="85">
        <f>40000-40000</f>
        <v>0</v>
      </c>
      <c r="M122" s="85">
        <v>0</v>
      </c>
      <c r="N122" s="85">
        <v>0</v>
      </c>
      <c r="O122" s="85">
        <v>0</v>
      </c>
      <c r="P122" s="39"/>
    </row>
    <row r="123" spans="1:16" ht="17.25" hidden="1" customHeight="1">
      <c r="A123" s="51"/>
      <c r="B123" s="51"/>
      <c r="C123" s="34" t="s">
        <v>78</v>
      </c>
      <c r="D123" s="35">
        <v>0</v>
      </c>
      <c r="E123" s="85"/>
      <c r="F123" s="35">
        <f t="shared" si="4"/>
        <v>0</v>
      </c>
      <c r="G123" s="48">
        <f>70000-70000</f>
        <v>0</v>
      </c>
      <c r="H123" s="35">
        <v>0</v>
      </c>
      <c r="I123" s="35">
        <v>0</v>
      </c>
      <c r="J123" s="35">
        <v>0</v>
      </c>
      <c r="K123" s="85">
        <f t="shared" si="48"/>
        <v>0</v>
      </c>
      <c r="L123" s="86">
        <f>70000-70000</f>
        <v>0</v>
      </c>
      <c r="M123" s="85">
        <v>0</v>
      </c>
      <c r="N123" s="85">
        <v>0</v>
      </c>
      <c r="O123" s="85">
        <v>0</v>
      </c>
      <c r="P123" s="39"/>
    </row>
    <row r="124" spans="1:16" ht="16.5" customHeight="1">
      <c r="A124" s="51"/>
      <c r="B124" s="51"/>
      <c r="C124" s="34" t="s">
        <v>80</v>
      </c>
      <c r="D124" s="35">
        <f>62800+7500</f>
        <v>70300</v>
      </c>
      <c r="E124" s="35">
        <v>0</v>
      </c>
      <c r="F124" s="35">
        <f t="shared" si="4"/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f t="shared" si="48"/>
        <v>0</v>
      </c>
      <c r="L124" s="35">
        <v>0</v>
      </c>
      <c r="M124" s="35">
        <v>0</v>
      </c>
      <c r="N124" s="35">
        <v>0</v>
      </c>
      <c r="O124" s="35">
        <v>0</v>
      </c>
      <c r="P124" s="39"/>
    </row>
    <row r="125" spans="1:16" ht="26.25" customHeight="1">
      <c r="A125" s="51"/>
      <c r="B125" s="51"/>
      <c r="C125" s="34" t="s">
        <v>213</v>
      </c>
      <c r="D125" s="35">
        <v>0</v>
      </c>
      <c r="E125" s="35">
        <v>0</v>
      </c>
      <c r="F125" s="35">
        <f t="shared" si="4"/>
        <v>765494</v>
      </c>
      <c r="G125" s="35">
        <v>765494</v>
      </c>
      <c r="H125" s="35">
        <v>0</v>
      </c>
      <c r="I125" s="35">
        <v>0</v>
      </c>
      <c r="J125" s="35">
        <v>0</v>
      </c>
      <c r="K125" s="35">
        <f t="shared" si="48"/>
        <v>634798</v>
      </c>
      <c r="L125" s="35">
        <v>634798</v>
      </c>
      <c r="M125" s="35">
        <v>0</v>
      </c>
      <c r="N125" s="35">
        <v>0</v>
      </c>
      <c r="O125" s="35">
        <v>0</v>
      </c>
      <c r="P125" s="39"/>
    </row>
    <row r="126" spans="1:16" s="49" customFormat="1" ht="27.75" customHeight="1">
      <c r="A126" s="87"/>
      <c r="B126" s="87"/>
      <c r="C126" s="34" t="s">
        <v>214</v>
      </c>
      <c r="D126" s="35">
        <v>0</v>
      </c>
      <c r="E126" s="35">
        <v>0</v>
      </c>
      <c r="F126" s="35">
        <f t="shared" si="4"/>
        <v>250000</v>
      </c>
      <c r="G126" s="35">
        <v>250000</v>
      </c>
      <c r="H126" s="35">
        <v>0</v>
      </c>
      <c r="I126" s="35">
        <v>0</v>
      </c>
      <c r="J126" s="35">
        <v>0</v>
      </c>
      <c r="K126" s="35">
        <f t="shared" si="48"/>
        <v>238964</v>
      </c>
      <c r="L126" s="35">
        <v>238964</v>
      </c>
      <c r="M126" s="35">
        <v>0</v>
      </c>
      <c r="N126" s="35">
        <v>0</v>
      </c>
      <c r="O126" s="35">
        <v>0</v>
      </c>
      <c r="P126" s="39"/>
    </row>
    <row r="127" spans="1:16" ht="50.25" customHeight="1">
      <c r="A127" s="51"/>
      <c r="B127" s="51"/>
      <c r="C127" s="50" t="s">
        <v>205</v>
      </c>
      <c r="D127" s="53">
        <v>0</v>
      </c>
      <c r="E127" s="53">
        <v>0</v>
      </c>
      <c r="F127" s="53">
        <f t="shared" si="4"/>
        <v>600000</v>
      </c>
      <c r="G127" s="53">
        <f>600000</f>
        <v>600000</v>
      </c>
      <c r="H127" s="53">
        <v>0</v>
      </c>
      <c r="I127" s="53">
        <v>0</v>
      </c>
      <c r="J127" s="53">
        <v>0</v>
      </c>
      <c r="K127" s="53">
        <f t="shared" si="48"/>
        <v>520443</v>
      </c>
      <c r="L127" s="53">
        <v>520443</v>
      </c>
      <c r="M127" s="53">
        <v>0</v>
      </c>
      <c r="N127" s="53">
        <v>0</v>
      </c>
      <c r="O127" s="53">
        <v>0</v>
      </c>
      <c r="P127" s="88"/>
    </row>
    <row r="128" spans="1:16" ht="29.25" customHeight="1">
      <c r="A128" s="51"/>
      <c r="B128" s="54"/>
      <c r="C128" s="34" t="s">
        <v>143</v>
      </c>
      <c r="D128" s="35">
        <v>0</v>
      </c>
      <c r="E128" s="35">
        <v>0</v>
      </c>
      <c r="F128" s="35">
        <f t="shared" si="4"/>
        <v>250000</v>
      </c>
      <c r="G128" s="35">
        <v>250000</v>
      </c>
      <c r="H128" s="35">
        <v>0</v>
      </c>
      <c r="I128" s="35">
        <v>0</v>
      </c>
      <c r="J128" s="35">
        <v>0</v>
      </c>
      <c r="K128" s="35">
        <f t="shared" si="48"/>
        <v>202400</v>
      </c>
      <c r="L128" s="35">
        <v>202400</v>
      </c>
      <c r="M128" s="35">
        <v>0</v>
      </c>
      <c r="N128" s="35">
        <v>0</v>
      </c>
      <c r="O128" s="35">
        <v>0</v>
      </c>
      <c r="P128" s="89"/>
    </row>
    <row r="129" spans="1:16" s="31" customFormat="1" ht="15.75" customHeight="1">
      <c r="A129" s="42"/>
      <c r="B129" s="56" t="s">
        <v>79</v>
      </c>
      <c r="C129" s="57" t="s">
        <v>116</v>
      </c>
      <c r="D129" s="58">
        <f t="shared" ref="D129:J129" si="49">SUM(D130:D133)</f>
        <v>248005</v>
      </c>
      <c r="E129" s="58">
        <f t="shared" si="49"/>
        <v>0</v>
      </c>
      <c r="F129" s="58">
        <f t="shared" si="49"/>
        <v>0</v>
      </c>
      <c r="G129" s="58">
        <f t="shared" si="49"/>
        <v>0</v>
      </c>
      <c r="H129" s="58">
        <f t="shared" si="49"/>
        <v>0</v>
      </c>
      <c r="I129" s="58">
        <f t="shared" si="49"/>
        <v>0</v>
      </c>
      <c r="J129" s="58">
        <f t="shared" si="49"/>
        <v>0</v>
      </c>
      <c r="K129" s="58">
        <f t="shared" ref="K129:O129" si="50">SUM(K130:K133)</f>
        <v>0</v>
      </c>
      <c r="L129" s="58">
        <f t="shared" si="50"/>
        <v>0</v>
      </c>
      <c r="M129" s="58">
        <f t="shared" si="50"/>
        <v>0</v>
      </c>
      <c r="N129" s="58">
        <f t="shared" si="50"/>
        <v>0</v>
      </c>
      <c r="O129" s="58">
        <f t="shared" si="50"/>
        <v>0</v>
      </c>
      <c r="P129" s="73"/>
    </row>
    <row r="130" spans="1:16" ht="41.25" customHeight="1">
      <c r="A130" s="51"/>
      <c r="B130" s="51"/>
      <c r="C130" s="34" t="s">
        <v>164</v>
      </c>
      <c r="D130" s="35">
        <f>60000+18000</f>
        <v>78000</v>
      </c>
      <c r="E130" s="35">
        <v>0</v>
      </c>
      <c r="F130" s="35">
        <f t="shared" si="4"/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f t="shared" ref="K130:K133" si="51">SUM(L130:O130)</f>
        <v>0</v>
      </c>
      <c r="L130" s="35">
        <v>0</v>
      </c>
      <c r="M130" s="35">
        <v>0</v>
      </c>
      <c r="N130" s="35">
        <v>0</v>
      </c>
      <c r="O130" s="35">
        <v>0</v>
      </c>
      <c r="P130" s="36" t="s">
        <v>18</v>
      </c>
    </row>
    <row r="131" spans="1:16" ht="51.75" customHeight="1">
      <c r="A131" s="51"/>
      <c r="B131" s="51"/>
      <c r="C131" s="50" t="s">
        <v>204</v>
      </c>
      <c r="D131" s="53">
        <f>3825+1175</f>
        <v>5000</v>
      </c>
      <c r="E131" s="53">
        <v>0</v>
      </c>
      <c r="F131" s="53">
        <f t="shared" si="4"/>
        <v>0</v>
      </c>
      <c r="G131" s="53">
        <v>0</v>
      </c>
      <c r="H131" s="53">
        <v>0</v>
      </c>
      <c r="I131" s="53">
        <v>0</v>
      </c>
      <c r="J131" s="53">
        <v>0</v>
      </c>
      <c r="K131" s="53">
        <f t="shared" si="51"/>
        <v>0</v>
      </c>
      <c r="L131" s="53">
        <v>0</v>
      </c>
      <c r="M131" s="53">
        <v>0</v>
      </c>
      <c r="N131" s="53">
        <v>0</v>
      </c>
      <c r="O131" s="53">
        <v>0</v>
      </c>
      <c r="P131" s="88"/>
    </row>
    <row r="132" spans="1:16" ht="17.25" customHeight="1">
      <c r="A132" s="51"/>
      <c r="B132" s="51"/>
      <c r="C132" s="34" t="s">
        <v>81</v>
      </c>
      <c r="D132" s="48">
        <f>66300+11700+34835+37170</f>
        <v>150005</v>
      </c>
      <c r="E132" s="48">
        <v>0</v>
      </c>
      <c r="F132" s="35">
        <f t="shared" si="4"/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f t="shared" si="51"/>
        <v>0</v>
      </c>
      <c r="L132" s="35">
        <v>0</v>
      </c>
      <c r="M132" s="35">
        <v>0</v>
      </c>
      <c r="N132" s="35">
        <v>0</v>
      </c>
      <c r="O132" s="35">
        <v>0</v>
      </c>
      <c r="P132" s="88"/>
    </row>
    <row r="133" spans="1:16" ht="42" customHeight="1">
      <c r="A133" s="51"/>
      <c r="B133" s="51"/>
      <c r="C133" s="50" t="s">
        <v>165</v>
      </c>
      <c r="D133" s="53">
        <f>12750+2250</f>
        <v>15000</v>
      </c>
      <c r="E133" s="53">
        <v>0</v>
      </c>
      <c r="F133" s="53">
        <f t="shared" si="4"/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f t="shared" si="51"/>
        <v>0</v>
      </c>
      <c r="L133" s="53">
        <v>0</v>
      </c>
      <c r="M133" s="53">
        <v>0</v>
      </c>
      <c r="N133" s="53">
        <v>0</v>
      </c>
      <c r="O133" s="53">
        <v>0</v>
      </c>
      <c r="P133" s="89"/>
    </row>
    <row r="134" spans="1:16" s="66" customFormat="1" ht="14.25" customHeight="1">
      <c r="A134" s="62" t="s">
        <v>82</v>
      </c>
      <c r="B134" s="62"/>
      <c r="C134" s="63" t="s">
        <v>125</v>
      </c>
      <c r="D134" s="64">
        <f t="shared" ref="D134:J134" si="52">D135+D137</f>
        <v>3642902</v>
      </c>
      <c r="E134" s="64">
        <f t="shared" si="52"/>
        <v>8000</v>
      </c>
      <c r="F134" s="64">
        <f t="shared" si="52"/>
        <v>0</v>
      </c>
      <c r="G134" s="64">
        <f t="shared" si="52"/>
        <v>0</v>
      </c>
      <c r="H134" s="64">
        <f t="shared" si="52"/>
        <v>0</v>
      </c>
      <c r="I134" s="64">
        <f t="shared" si="52"/>
        <v>0</v>
      </c>
      <c r="J134" s="64">
        <f t="shared" si="52"/>
        <v>0</v>
      </c>
      <c r="K134" s="64">
        <f t="shared" ref="K134:O134" si="53">K135+K137</f>
        <v>0</v>
      </c>
      <c r="L134" s="64">
        <f t="shared" si="53"/>
        <v>0</v>
      </c>
      <c r="M134" s="64">
        <f t="shared" si="53"/>
        <v>0</v>
      </c>
      <c r="N134" s="64">
        <f t="shared" si="53"/>
        <v>0</v>
      </c>
      <c r="O134" s="64">
        <f t="shared" si="53"/>
        <v>0</v>
      </c>
      <c r="P134" s="65"/>
    </row>
    <row r="135" spans="1:16" s="31" customFormat="1" ht="15.75" customHeight="1">
      <c r="A135" s="25"/>
      <c r="B135" s="43" t="s">
        <v>83</v>
      </c>
      <c r="C135" s="44" t="s">
        <v>126</v>
      </c>
      <c r="D135" s="45">
        <f t="shared" ref="D135:O135" si="54">D136</f>
        <v>467958</v>
      </c>
      <c r="E135" s="45">
        <f t="shared" si="54"/>
        <v>0</v>
      </c>
      <c r="F135" s="45">
        <f t="shared" si="54"/>
        <v>0</v>
      </c>
      <c r="G135" s="45">
        <f t="shared" si="54"/>
        <v>0</v>
      </c>
      <c r="H135" s="45">
        <f t="shared" si="54"/>
        <v>0</v>
      </c>
      <c r="I135" s="45">
        <f t="shared" si="54"/>
        <v>0</v>
      </c>
      <c r="J135" s="45">
        <f t="shared" si="54"/>
        <v>0</v>
      </c>
      <c r="K135" s="45">
        <f t="shared" si="54"/>
        <v>0</v>
      </c>
      <c r="L135" s="45">
        <f t="shared" si="54"/>
        <v>0</v>
      </c>
      <c r="M135" s="45">
        <f t="shared" si="54"/>
        <v>0</v>
      </c>
      <c r="N135" s="45">
        <f t="shared" si="54"/>
        <v>0</v>
      </c>
      <c r="O135" s="45">
        <f t="shared" si="54"/>
        <v>0</v>
      </c>
      <c r="P135" s="29"/>
    </row>
    <row r="136" spans="1:16" ht="39.75" customHeight="1">
      <c r="A136" s="90"/>
      <c r="B136" s="72"/>
      <c r="C136" s="34" t="s">
        <v>159</v>
      </c>
      <c r="D136" s="48">
        <f>358476+63260+36096+10126</f>
        <v>467958</v>
      </c>
      <c r="E136" s="48">
        <v>0</v>
      </c>
      <c r="F136" s="35">
        <f>SUM(G136:J136)</f>
        <v>0</v>
      </c>
      <c r="G136" s="35">
        <v>0</v>
      </c>
      <c r="H136" s="35">
        <v>0</v>
      </c>
      <c r="I136" s="35">
        <v>0</v>
      </c>
      <c r="J136" s="35">
        <v>0</v>
      </c>
      <c r="K136" s="35">
        <f>SUM(L136:O136)</f>
        <v>0</v>
      </c>
      <c r="L136" s="35">
        <v>0</v>
      </c>
      <c r="M136" s="35">
        <v>0</v>
      </c>
      <c r="N136" s="35">
        <v>0</v>
      </c>
      <c r="O136" s="35">
        <v>0</v>
      </c>
      <c r="P136" s="41" t="s">
        <v>171</v>
      </c>
    </row>
    <row r="137" spans="1:16" s="31" customFormat="1" ht="15.75" customHeight="1">
      <c r="A137" s="42"/>
      <c r="B137" s="56" t="s">
        <v>86</v>
      </c>
      <c r="C137" s="57" t="s">
        <v>127</v>
      </c>
      <c r="D137" s="58">
        <f t="shared" ref="D137:J137" si="55">SUM(D138:D139)</f>
        <v>3174944</v>
      </c>
      <c r="E137" s="58">
        <f t="shared" si="55"/>
        <v>8000</v>
      </c>
      <c r="F137" s="58">
        <f t="shared" si="55"/>
        <v>0</v>
      </c>
      <c r="G137" s="58">
        <f t="shared" si="55"/>
        <v>0</v>
      </c>
      <c r="H137" s="58">
        <f t="shared" si="55"/>
        <v>0</v>
      </c>
      <c r="I137" s="58">
        <f t="shared" si="55"/>
        <v>0</v>
      </c>
      <c r="J137" s="58">
        <f t="shared" si="55"/>
        <v>0</v>
      </c>
      <c r="K137" s="58">
        <f t="shared" ref="K137:O137" si="56">SUM(K138:K139)</f>
        <v>0</v>
      </c>
      <c r="L137" s="58">
        <f t="shared" si="56"/>
        <v>0</v>
      </c>
      <c r="M137" s="58">
        <f t="shared" si="56"/>
        <v>0</v>
      </c>
      <c r="N137" s="58">
        <f t="shared" si="56"/>
        <v>0</v>
      </c>
      <c r="O137" s="58">
        <f t="shared" si="56"/>
        <v>0</v>
      </c>
      <c r="P137" s="73"/>
    </row>
    <row r="138" spans="1:16" ht="39.75" customHeight="1">
      <c r="A138" s="51"/>
      <c r="B138" s="51"/>
      <c r="C138" s="34" t="s">
        <v>84</v>
      </c>
      <c r="D138" s="35">
        <f>940179+104465</f>
        <v>1044644</v>
      </c>
      <c r="E138" s="35">
        <v>0</v>
      </c>
      <c r="F138" s="35">
        <f>SUM(G138:J138)</f>
        <v>0</v>
      </c>
      <c r="G138" s="35">
        <v>0</v>
      </c>
      <c r="H138" s="35">
        <v>0</v>
      </c>
      <c r="I138" s="35">
        <v>0</v>
      </c>
      <c r="J138" s="35">
        <v>0</v>
      </c>
      <c r="K138" s="35">
        <f>SUM(L138:O138)</f>
        <v>0</v>
      </c>
      <c r="L138" s="35">
        <v>0</v>
      </c>
      <c r="M138" s="35">
        <v>0</v>
      </c>
      <c r="N138" s="35">
        <v>0</v>
      </c>
      <c r="O138" s="35">
        <v>0</v>
      </c>
      <c r="P138" s="41" t="s">
        <v>170</v>
      </c>
    </row>
    <row r="139" spans="1:16" ht="39.75" customHeight="1">
      <c r="A139" s="54"/>
      <c r="B139" s="54"/>
      <c r="C139" s="61" t="s">
        <v>85</v>
      </c>
      <c r="D139" s="35">
        <f>1810755+319545</f>
        <v>2130300</v>
      </c>
      <c r="E139" s="35">
        <v>8000</v>
      </c>
      <c r="F139" s="35">
        <f>SUM(G139:J139)</f>
        <v>0</v>
      </c>
      <c r="G139" s="35">
        <v>0</v>
      </c>
      <c r="H139" s="35">
        <v>0</v>
      </c>
      <c r="I139" s="35">
        <v>0</v>
      </c>
      <c r="J139" s="35">
        <v>0</v>
      </c>
      <c r="K139" s="35">
        <f>SUM(L139:O139)</f>
        <v>0</v>
      </c>
      <c r="L139" s="35">
        <v>0</v>
      </c>
      <c r="M139" s="35">
        <v>0</v>
      </c>
      <c r="N139" s="35">
        <v>0</v>
      </c>
      <c r="O139" s="35">
        <v>0</v>
      </c>
      <c r="P139" s="41" t="s">
        <v>169</v>
      </c>
    </row>
    <row r="140" spans="1:16" s="66" customFormat="1" ht="14.25" customHeight="1">
      <c r="A140" s="62" t="s">
        <v>87</v>
      </c>
      <c r="B140" s="62"/>
      <c r="C140" s="63" t="s">
        <v>128</v>
      </c>
      <c r="D140" s="64">
        <f>D141</f>
        <v>0</v>
      </c>
      <c r="E140" s="64">
        <f>E141</f>
        <v>0</v>
      </c>
      <c r="F140" s="64">
        <f t="shared" ref="F140:O141" si="57">F141</f>
        <v>8000</v>
      </c>
      <c r="G140" s="64">
        <f t="shared" si="57"/>
        <v>8000</v>
      </c>
      <c r="H140" s="64">
        <f t="shared" si="57"/>
        <v>0</v>
      </c>
      <c r="I140" s="64">
        <f t="shared" si="57"/>
        <v>0</v>
      </c>
      <c r="J140" s="64">
        <f t="shared" si="57"/>
        <v>0</v>
      </c>
      <c r="K140" s="64">
        <f t="shared" si="57"/>
        <v>0</v>
      </c>
      <c r="L140" s="64">
        <f t="shared" si="57"/>
        <v>0</v>
      </c>
      <c r="M140" s="64">
        <f t="shared" si="57"/>
        <v>0</v>
      </c>
      <c r="N140" s="64">
        <f t="shared" si="57"/>
        <v>0</v>
      </c>
      <c r="O140" s="64">
        <f t="shared" si="57"/>
        <v>0</v>
      </c>
      <c r="P140" s="65"/>
    </row>
    <row r="141" spans="1:16" s="31" customFormat="1" ht="15.75" customHeight="1">
      <c r="A141" s="25"/>
      <c r="B141" s="43" t="s">
        <v>88</v>
      </c>
      <c r="C141" s="44" t="s">
        <v>129</v>
      </c>
      <c r="D141" s="45">
        <f>D142</f>
        <v>0</v>
      </c>
      <c r="E141" s="45">
        <f>E142</f>
        <v>0</v>
      </c>
      <c r="F141" s="45">
        <f t="shared" si="57"/>
        <v>8000</v>
      </c>
      <c r="G141" s="45">
        <f t="shared" si="57"/>
        <v>8000</v>
      </c>
      <c r="H141" s="45">
        <f t="shared" si="57"/>
        <v>0</v>
      </c>
      <c r="I141" s="45">
        <f t="shared" si="57"/>
        <v>0</v>
      </c>
      <c r="J141" s="45">
        <f t="shared" si="57"/>
        <v>0</v>
      </c>
      <c r="K141" s="45">
        <f t="shared" si="57"/>
        <v>0</v>
      </c>
      <c r="L141" s="45">
        <f t="shared" si="57"/>
        <v>0</v>
      </c>
      <c r="M141" s="45">
        <f t="shared" si="57"/>
        <v>0</v>
      </c>
      <c r="N141" s="45">
        <f t="shared" si="57"/>
        <v>0</v>
      </c>
      <c r="O141" s="45">
        <f t="shared" si="57"/>
        <v>0</v>
      </c>
      <c r="P141" s="29"/>
    </row>
    <row r="142" spans="1:16" ht="27.75" customHeight="1">
      <c r="A142" s="90"/>
      <c r="B142" s="72"/>
      <c r="C142" s="34" t="s">
        <v>89</v>
      </c>
      <c r="D142" s="35">
        <v>0</v>
      </c>
      <c r="E142" s="35">
        <v>0</v>
      </c>
      <c r="F142" s="35">
        <f>SUM(G142:J142)</f>
        <v>8000</v>
      </c>
      <c r="G142" s="35">
        <v>8000</v>
      </c>
      <c r="H142" s="35">
        <v>0</v>
      </c>
      <c r="I142" s="35">
        <v>0</v>
      </c>
      <c r="J142" s="35">
        <v>0</v>
      </c>
      <c r="K142" s="35">
        <f>SUM(L142:O142)</f>
        <v>0</v>
      </c>
      <c r="L142" s="35">
        <v>0</v>
      </c>
      <c r="M142" s="35">
        <v>0</v>
      </c>
      <c r="N142" s="35">
        <v>0</v>
      </c>
      <c r="O142" s="35">
        <v>0</v>
      </c>
      <c r="P142" s="41" t="s">
        <v>18</v>
      </c>
    </row>
    <row r="143" spans="1:16" s="66" customFormat="1" ht="14.25" customHeight="1">
      <c r="A143" s="62" t="s">
        <v>90</v>
      </c>
      <c r="B143" s="62"/>
      <c r="C143" s="63" t="s">
        <v>130</v>
      </c>
      <c r="D143" s="64">
        <f>D144</f>
        <v>0</v>
      </c>
      <c r="E143" s="64">
        <f>E144</f>
        <v>0</v>
      </c>
      <c r="F143" s="64">
        <f t="shared" ref="F143:O144" si="58">F144</f>
        <v>21000</v>
      </c>
      <c r="G143" s="64">
        <f t="shared" si="58"/>
        <v>21000</v>
      </c>
      <c r="H143" s="64">
        <f t="shared" si="58"/>
        <v>0</v>
      </c>
      <c r="I143" s="64">
        <f t="shared" si="58"/>
        <v>0</v>
      </c>
      <c r="J143" s="64">
        <f t="shared" si="58"/>
        <v>0</v>
      </c>
      <c r="K143" s="64">
        <f t="shared" si="58"/>
        <v>0</v>
      </c>
      <c r="L143" s="64">
        <f t="shared" si="58"/>
        <v>0</v>
      </c>
      <c r="M143" s="64">
        <f t="shared" si="58"/>
        <v>0</v>
      </c>
      <c r="N143" s="64">
        <f t="shared" si="58"/>
        <v>0</v>
      </c>
      <c r="O143" s="64">
        <f t="shared" si="58"/>
        <v>0</v>
      </c>
      <c r="P143" s="65"/>
    </row>
    <row r="144" spans="1:16" s="31" customFormat="1" ht="39.75" customHeight="1">
      <c r="A144" s="25"/>
      <c r="B144" s="67" t="s">
        <v>91</v>
      </c>
      <c r="C144" s="68" t="s">
        <v>206</v>
      </c>
      <c r="D144" s="45">
        <f>D145</f>
        <v>0</v>
      </c>
      <c r="E144" s="45"/>
      <c r="F144" s="45">
        <f t="shared" si="58"/>
        <v>21000</v>
      </c>
      <c r="G144" s="45">
        <f t="shared" si="58"/>
        <v>21000</v>
      </c>
      <c r="H144" s="45">
        <f t="shared" si="58"/>
        <v>0</v>
      </c>
      <c r="I144" s="45">
        <f t="shared" si="58"/>
        <v>0</v>
      </c>
      <c r="J144" s="45">
        <f t="shared" si="58"/>
        <v>0</v>
      </c>
      <c r="K144" s="45">
        <f t="shared" si="58"/>
        <v>0</v>
      </c>
      <c r="L144" s="45">
        <f t="shared" si="58"/>
        <v>0</v>
      </c>
      <c r="M144" s="45">
        <f t="shared" si="58"/>
        <v>0</v>
      </c>
      <c r="N144" s="45">
        <f t="shared" si="58"/>
        <v>0</v>
      </c>
      <c r="O144" s="45">
        <f t="shared" si="58"/>
        <v>0</v>
      </c>
      <c r="P144" s="29"/>
    </row>
    <row r="145" spans="1:16" ht="28.5" customHeight="1">
      <c r="A145" s="90"/>
      <c r="B145" s="72"/>
      <c r="C145" s="34" t="s">
        <v>208</v>
      </c>
      <c r="D145" s="35">
        <v>0</v>
      </c>
      <c r="E145" s="35">
        <v>0</v>
      </c>
      <c r="F145" s="35">
        <f>SUM(G145:J145)</f>
        <v>21000</v>
      </c>
      <c r="G145" s="35">
        <v>21000</v>
      </c>
      <c r="H145" s="35">
        <v>0</v>
      </c>
      <c r="I145" s="35">
        <v>0</v>
      </c>
      <c r="J145" s="35">
        <v>0</v>
      </c>
      <c r="K145" s="35">
        <f>SUM(L145:O145)</f>
        <v>0</v>
      </c>
      <c r="L145" s="35">
        <v>0</v>
      </c>
      <c r="M145" s="35">
        <v>0</v>
      </c>
      <c r="N145" s="35">
        <v>0</v>
      </c>
      <c r="O145" s="35">
        <v>0</v>
      </c>
      <c r="P145" s="41" t="s">
        <v>18</v>
      </c>
    </row>
    <row r="146" spans="1:16" s="66" customFormat="1" ht="14.25" customHeight="1">
      <c r="A146" s="62" t="s">
        <v>92</v>
      </c>
      <c r="B146" s="62"/>
      <c r="C146" s="63" t="s">
        <v>131</v>
      </c>
      <c r="D146" s="64">
        <f t="shared" ref="D146:J146" si="59">D147+D150</f>
        <v>184294</v>
      </c>
      <c r="E146" s="64">
        <f t="shared" si="59"/>
        <v>0</v>
      </c>
      <c r="F146" s="64">
        <f t="shared" si="59"/>
        <v>0</v>
      </c>
      <c r="G146" s="64">
        <f t="shared" si="59"/>
        <v>0</v>
      </c>
      <c r="H146" s="64">
        <f t="shared" si="59"/>
        <v>0</v>
      </c>
      <c r="I146" s="64">
        <f t="shared" si="59"/>
        <v>0</v>
      </c>
      <c r="J146" s="64">
        <f t="shared" si="59"/>
        <v>0</v>
      </c>
      <c r="K146" s="64">
        <f t="shared" ref="K146:O146" si="60">K147+K150</f>
        <v>0</v>
      </c>
      <c r="L146" s="64">
        <f t="shared" si="60"/>
        <v>0</v>
      </c>
      <c r="M146" s="64">
        <f t="shared" si="60"/>
        <v>0</v>
      </c>
      <c r="N146" s="64">
        <f t="shared" si="60"/>
        <v>0</v>
      </c>
      <c r="O146" s="64">
        <f t="shared" si="60"/>
        <v>0</v>
      </c>
      <c r="P146" s="65"/>
    </row>
    <row r="147" spans="1:16" s="31" customFormat="1" ht="15.75" customHeight="1">
      <c r="A147" s="25"/>
      <c r="B147" s="43" t="s">
        <v>93</v>
      </c>
      <c r="C147" s="44" t="s">
        <v>132</v>
      </c>
      <c r="D147" s="45">
        <f t="shared" ref="D147:J147" si="61">SUM(D148:D149)</f>
        <v>167294</v>
      </c>
      <c r="E147" s="45">
        <f t="shared" si="61"/>
        <v>0</v>
      </c>
      <c r="F147" s="45">
        <f t="shared" si="61"/>
        <v>0</v>
      </c>
      <c r="G147" s="45">
        <f t="shared" si="61"/>
        <v>0</v>
      </c>
      <c r="H147" s="45">
        <f t="shared" si="61"/>
        <v>0</v>
      </c>
      <c r="I147" s="45">
        <f t="shared" si="61"/>
        <v>0</v>
      </c>
      <c r="J147" s="45">
        <f t="shared" si="61"/>
        <v>0</v>
      </c>
      <c r="K147" s="45">
        <f t="shared" ref="K147:O147" si="62">SUM(K148:K149)</f>
        <v>0</v>
      </c>
      <c r="L147" s="45">
        <f t="shared" si="62"/>
        <v>0</v>
      </c>
      <c r="M147" s="45">
        <f t="shared" si="62"/>
        <v>0</v>
      </c>
      <c r="N147" s="45">
        <f t="shared" si="62"/>
        <v>0</v>
      </c>
      <c r="O147" s="45">
        <f t="shared" si="62"/>
        <v>0</v>
      </c>
      <c r="P147" s="29"/>
    </row>
    <row r="148" spans="1:16" ht="25.5" customHeight="1">
      <c r="A148" s="32"/>
      <c r="B148" s="33"/>
      <c r="C148" s="34" t="s">
        <v>94</v>
      </c>
      <c r="D148" s="35">
        <f>132000+23294</f>
        <v>155294</v>
      </c>
      <c r="E148" s="35">
        <v>0</v>
      </c>
      <c r="F148" s="35">
        <f>SUM(G148:J148)</f>
        <v>0</v>
      </c>
      <c r="G148" s="35">
        <v>0</v>
      </c>
      <c r="H148" s="35">
        <v>0</v>
      </c>
      <c r="I148" s="35">
        <v>0</v>
      </c>
      <c r="J148" s="35">
        <v>0</v>
      </c>
      <c r="K148" s="35">
        <f>SUM(L148:O148)</f>
        <v>0</v>
      </c>
      <c r="L148" s="35">
        <v>0</v>
      </c>
      <c r="M148" s="35">
        <v>0</v>
      </c>
      <c r="N148" s="35">
        <v>0</v>
      </c>
      <c r="O148" s="35">
        <v>0</v>
      </c>
      <c r="P148" s="36" t="s">
        <v>184</v>
      </c>
    </row>
    <row r="149" spans="1:16" ht="27.75" customHeight="1">
      <c r="A149" s="51"/>
      <c r="B149" s="54"/>
      <c r="C149" s="34" t="s">
        <v>158</v>
      </c>
      <c r="D149" s="35">
        <f>10800+1200</f>
        <v>12000</v>
      </c>
      <c r="E149" s="35">
        <v>0</v>
      </c>
      <c r="F149" s="35">
        <f>SUM(G149:J149)</f>
        <v>0</v>
      </c>
      <c r="G149" s="35">
        <v>0</v>
      </c>
      <c r="H149" s="35">
        <v>0</v>
      </c>
      <c r="I149" s="35">
        <v>0</v>
      </c>
      <c r="J149" s="35">
        <v>0</v>
      </c>
      <c r="K149" s="35">
        <f>SUM(L149:O149)</f>
        <v>0</v>
      </c>
      <c r="L149" s="35">
        <v>0</v>
      </c>
      <c r="M149" s="35">
        <v>0</v>
      </c>
      <c r="N149" s="35">
        <v>0</v>
      </c>
      <c r="O149" s="35">
        <v>0</v>
      </c>
      <c r="P149" s="40"/>
    </row>
    <row r="150" spans="1:16" s="31" customFormat="1" ht="15.75" customHeight="1">
      <c r="A150" s="42"/>
      <c r="B150" s="56" t="s">
        <v>95</v>
      </c>
      <c r="C150" s="57" t="s">
        <v>116</v>
      </c>
      <c r="D150" s="58">
        <f t="shared" ref="D150:O150" si="63">SUM(D151)</f>
        <v>17000</v>
      </c>
      <c r="E150" s="58">
        <f t="shared" si="63"/>
        <v>0</v>
      </c>
      <c r="F150" s="58">
        <f t="shared" si="63"/>
        <v>0</v>
      </c>
      <c r="G150" s="58">
        <f t="shared" si="63"/>
        <v>0</v>
      </c>
      <c r="H150" s="58">
        <f t="shared" si="63"/>
        <v>0</v>
      </c>
      <c r="I150" s="58">
        <f t="shared" si="63"/>
        <v>0</v>
      </c>
      <c r="J150" s="58">
        <f t="shared" si="63"/>
        <v>0</v>
      </c>
      <c r="K150" s="58">
        <f t="shared" si="63"/>
        <v>0</v>
      </c>
      <c r="L150" s="58">
        <f t="shared" si="63"/>
        <v>0</v>
      </c>
      <c r="M150" s="58">
        <f t="shared" si="63"/>
        <v>0</v>
      </c>
      <c r="N150" s="58">
        <f t="shared" si="63"/>
        <v>0</v>
      </c>
      <c r="O150" s="58">
        <f t="shared" si="63"/>
        <v>0</v>
      </c>
      <c r="P150" s="73"/>
    </row>
    <row r="151" spans="1:16" ht="27.75" customHeight="1">
      <c r="A151" s="54"/>
      <c r="B151" s="54"/>
      <c r="C151" s="61" t="s">
        <v>26</v>
      </c>
      <c r="D151" s="35">
        <f>14450+2550</f>
        <v>17000</v>
      </c>
      <c r="E151" s="35">
        <v>0</v>
      </c>
      <c r="F151" s="35">
        <f>SUM(G151:J151)</f>
        <v>0</v>
      </c>
      <c r="G151" s="35">
        <v>0</v>
      </c>
      <c r="H151" s="35">
        <v>0</v>
      </c>
      <c r="I151" s="35">
        <v>0</v>
      </c>
      <c r="J151" s="35">
        <v>0</v>
      </c>
      <c r="K151" s="35">
        <f>SUM(L151:O151)</f>
        <v>0</v>
      </c>
      <c r="L151" s="35">
        <v>0</v>
      </c>
      <c r="M151" s="35">
        <v>0</v>
      </c>
      <c r="N151" s="35">
        <v>0</v>
      </c>
      <c r="O151" s="35">
        <v>0</v>
      </c>
      <c r="P151" s="18" t="s">
        <v>184</v>
      </c>
    </row>
    <row r="152" spans="1:16" s="66" customFormat="1" ht="14.25" customHeight="1">
      <c r="A152" s="62" t="s">
        <v>96</v>
      </c>
      <c r="B152" s="62"/>
      <c r="C152" s="63" t="s">
        <v>133</v>
      </c>
      <c r="D152" s="64">
        <f>D153</f>
        <v>4823613</v>
      </c>
      <c r="E152" s="64">
        <f>E153</f>
        <v>250000</v>
      </c>
      <c r="F152" s="64">
        <f t="shared" ref="F152:O152" si="64">F153</f>
        <v>400000</v>
      </c>
      <c r="G152" s="64">
        <f t="shared" si="64"/>
        <v>400000</v>
      </c>
      <c r="H152" s="64">
        <f t="shared" si="64"/>
        <v>0</v>
      </c>
      <c r="I152" s="64">
        <f t="shared" si="64"/>
        <v>0</v>
      </c>
      <c r="J152" s="64">
        <f t="shared" si="64"/>
        <v>0</v>
      </c>
      <c r="K152" s="64">
        <f t="shared" si="64"/>
        <v>0</v>
      </c>
      <c r="L152" s="64">
        <f t="shared" si="64"/>
        <v>0</v>
      </c>
      <c r="M152" s="64">
        <f t="shared" si="64"/>
        <v>0</v>
      </c>
      <c r="N152" s="64">
        <f t="shared" si="64"/>
        <v>0</v>
      </c>
      <c r="O152" s="64">
        <f t="shared" si="64"/>
        <v>0</v>
      </c>
      <c r="P152" s="65"/>
    </row>
    <row r="153" spans="1:16" s="31" customFormat="1" ht="15.75" customHeight="1">
      <c r="A153" s="42"/>
      <c r="B153" s="43" t="s">
        <v>97</v>
      </c>
      <c r="C153" s="44" t="s">
        <v>134</v>
      </c>
      <c r="D153" s="45">
        <f>SUM(D154:D155)</f>
        <v>4823613</v>
      </c>
      <c r="E153" s="45">
        <f>SUM(E154:E155)</f>
        <v>250000</v>
      </c>
      <c r="F153" s="45">
        <f t="shared" ref="F153:J153" si="65">SUM(F154:F155)</f>
        <v>400000</v>
      </c>
      <c r="G153" s="45">
        <f t="shared" si="65"/>
        <v>400000</v>
      </c>
      <c r="H153" s="45">
        <f t="shared" si="65"/>
        <v>0</v>
      </c>
      <c r="I153" s="45">
        <f t="shared" si="65"/>
        <v>0</v>
      </c>
      <c r="J153" s="45">
        <f t="shared" si="65"/>
        <v>0</v>
      </c>
      <c r="K153" s="45">
        <f t="shared" ref="K153:O153" si="66">SUM(K154:K155)</f>
        <v>0</v>
      </c>
      <c r="L153" s="45">
        <f t="shared" si="66"/>
        <v>0</v>
      </c>
      <c r="M153" s="45">
        <f t="shared" si="66"/>
        <v>0</v>
      </c>
      <c r="N153" s="45">
        <f t="shared" si="66"/>
        <v>0</v>
      </c>
      <c r="O153" s="45">
        <f t="shared" si="66"/>
        <v>0</v>
      </c>
      <c r="P153" s="29"/>
    </row>
    <row r="154" spans="1:16" ht="67.5" customHeight="1">
      <c r="A154" s="51"/>
      <c r="B154" s="51"/>
      <c r="C154" s="61" t="s">
        <v>98</v>
      </c>
      <c r="D154" s="35">
        <v>0</v>
      </c>
      <c r="E154" s="35">
        <v>0</v>
      </c>
      <c r="F154" s="35">
        <f>SUM(G154:J154)</f>
        <v>400000</v>
      </c>
      <c r="G154" s="35">
        <v>400000</v>
      </c>
      <c r="H154" s="35">
        <v>0</v>
      </c>
      <c r="I154" s="35">
        <v>0</v>
      </c>
      <c r="J154" s="35">
        <v>0</v>
      </c>
      <c r="K154" s="35">
        <f>SUM(L154:O154)</f>
        <v>0</v>
      </c>
      <c r="L154" s="35">
        <v>0</v>
      </c>
      <c r="M154" s="35">
        <v>0</v>
      </c>
      <c r="N154" s="35">
        <v>0</v>
      </c>
      <c r="O154" s="35">
        <v>0</v>
      </c>
      <c r="P154" s="18" t="s">
        <v>185</v>
      </c>
    </row>
    <row r="155" spans="1:16" ht="32.25" customHeight="1">
      <c r="A155" s="54"/>
      <c r="B155" s="54"/>
      <c r="C155" s="34" t="s">
        <v>99</v>
      </c>
      <c r="D155" s="35">
        <f>2835086+1988527</f>
        <v>4823613</v>
      </c>
      <c r="E155" s="35">
        <v>250000</v>
      </c>
      <c r="F155" s="35">
        <f>SUM(G155:J155)</f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f>SUM(L155:O155)</f>
        <v>0</v>
      </c>
      <c r="L155" s="35">
        <v>0</v>
      </c>
      <c r="M155" s="35">
        <v>0</v>
      </c>
      <c r="N155" s="35">
        <v>0</v>
      </c>
      <c r="O155" s="35">
        <v>0</v>
      </c>
      <c r="P155" s="41" t="s">
        <v>168</v>
      </c>
    </row>
    <row r="156" spans="1:16" s="66" customFormat="1" ht="14.25" customHeight="1">
      <c r="A156" s="62" t="s">
        <v>100</v>
      </c>
      <c r="B156" s="62"/>
      <c r="C156" s="63" t="s">
        <v>135</v>
      </c>
      <c r="D156" s="64">
        <f>D157</f>
        <v>0</v>
      </c>
      <c r="E156" s="64">
        <f>E157</f>
        <v>0</v>
      </c>
      <c r="F156" s="64">
        <f t="shared" ref="F156:O157" si="67">F157</f>
        <v>4173872</v>
      </c>
      <c r="G156" s="64">
        <f t="shared" si="67"/>
        <v>106872</v>
      </c>
      <c r="H156" s="64">
        <f t="shared" si="67"/>
        <v>0</v>
      </c>
      <c r="I156" s="64">
        <f t="shared" si="67"/>
        <v>4067000</v>
      </c>
      <c r="J156" s="64">
        <f t="shared" si="67"/>
        <v>0</v>
      </c>
      <c r="K156" s="64">
        <f t="shared" si="67"/>
        <v>0</v>
      </c>
      <c r="L156" s="64">
        <f t="shared" si="67"/>
        <v>0</v>
      </c>
      <c r="M156" s="64">
        <f t="shared" si="67"/>
        <v>0</v>
      </c>
      <c r="N156" s="64">
        <f t="shared" si="67"/>
        <v>0</v>
      </c>
      <c r="O156" s="64">
        <f t="shared" si="67"/>
        <v>0</v>
      </c>
      <c r="P156" s="65"/>
    </row>
    <row r="157" spans="1:16" s="31" customFormat="1" ht="15.75" customHeight="1">
      <c r="A157" s="42"/>
      <c r="B157" s="43" t="s">
        <v>101</v>
      </c>
      <c r="C157" s="44" t="s">
        <v>136</v>
      </c>
      <c r="D157" s="45">
        <f>D158</f>
        <v>0</v>
      </c>
      <c r="E157" s="45">
        <f>E158</f>
        <v>0</v>
      </c>
      <c r="F157" s="45">
        <f t="shared" si="67"/>
        <v>4173872</v>
      </c>
      <c r="G157" s="45">
        <f t="shared" si="67"/>
        <v>106872</v>
      </c>
      <c r="H157" s="45">
        <f t="shared" si="67"/>
        <v>0</v>
      </c>
      <c r="I157" s="45">
        <f t="shared" si="67"/>
        <v>4067000</v>
      </c>
      <c r="J157" s="45">
        <f t="shared" si="67"/>
        <v>0</v>
      </c>
      <c r="K157" s="45">
        <f t="shared" si="67"/>
        <v>0</v>
      </c>
      <c r="L157" s="45">
        <f t="shared" si="67"/>
        <v>0</v>
      </c>
      <c r="M157" s="45">
        <f t="shared" si="67"/>
        <v>0</v>
      </c>
      <c r="N157" s="45">
        <f t="shared" si="67"/>
        <v>0</v>
      </c>
      <c r="O157" s="45">
        <f t="shared" si="67"/>
        <v>0</v>
      </c>
      <c r="P157" s="29"/>
    </row>
    <row r="158" spans="1:16" ht="42.75" customHeight="1">
      <c r="A158" s="51"/>
      <c r="B158" s="51"/>
      <c r="C158" s="34" t="s">
        <v>102</v>
      </c>
      <c r="D158" s="35">
        <v>0</v>
      </c>
      <c r="E158" s="35">
        <v>0</v>
      </c>
      <c r="F158" s="35">
        <f>SUM(G158:J158)</f>
        <v>4173872</v>
      </c>
      <c r="G158" s="35">
        <v>106872</v>
      </c>
      <c r="H158" s="35">
        <v>0</v>
      </c>
      <c r="I158" s="35">
        <f>3817000+250000</f>
        <v>4067000</v>
      </c>
      <c r="J158" s="35">
        <v>0</v>
      </c>
      <c r="K158" s="35">
        <f>SUM(L158:O158)</f>
        <v>0</v>
      </c>
      <c r="L158" s="35">
        <v>0</v>
      </c>
      <c r="M158" s="35">
        <v>0</v>
      </c>
      <c r="N158" s="35">
        <v>0</v>
      </c>
      <c r="O158" s="35">
        <v>0</v>
      </c>
      <c r="P158" s="18" t="s">
        <v>18</v>
      </c>
    </row>
    <row r="159" spans="1:16" s="66" customFormat="1" ht="28.5" customHeight="1">
      <c r="A159" s="91" t="s">
        <v>103</v>
      </c>
      <c r="B159" s="62"/>
      <c r="C159" s="63" t="s">
        <v>207</v>
      </c>
      <c r="D159" s="22">
        <f t="shared" ref="D159:O159" si="68">D160</f>
        <v>0</v>
      </c>
      <c r="E159" s="22">
        <f t="shared" si="68"/>
        <v>0</v>
      </c>
      <c r="F159" s="22">
        <f t="shared" si="68"/>
        <v>77193</v>
      </c>
      <c r="G159" s="22">
        <f t="shared" si="68"/>
        <v>19661</v>
      </c>
      <c r="H159" s="22">
        <f t="shared" si="68"/>
        <v>0</v>
      </c>
      <c r="I159" s="22">
        <f t="shared" si="68"/>
        <v>51571</v>
      </c>
      <c r="J159" s="22">
        <f t="shared" si="68"/>
        <v>5961</v>
      </c>
      <c r="K159" s="22">
        <f t="shared" si="68"/>
        <v>28556</v>
      </c>
      <c r="L159" s="22">
        <f t="shared" si="68"/>
        <v>11542</v>
      </c>
      <c r="M159" s="22">
        <f t="shared" si="68"/>
        <v>0</v>
      </c>
      <c r="N159" s="22">
        <f t="shared" si="68"/>
        <v>17014</v>
      </c>
      <c r="O159" s="22">
        <f t="shared" si="68"/>
        <v>0</v>
      </c>
      <c r="P159" s="65"/>
    </row>
    <row r="160" spans="1:16" s="31" customFormat="1" ht="15.75" customHeight="1">
      <c r="A160" s="42"/>
      <c r="B160" s="43" t="s">
        <v>104</v>
      </c>
      <c r="C160" s="44" t="s">
        <v>137</v>
      </c>
      <c r="D160" s="45">
        <f t="shared" ref="D160:J160" si="69">SUM(D161:D165)</f>
        <v>0</v>
      </c>
      <c r="E160" s="45">
        <f t="shared" si="69"/>
        <v>0</v>
      </c>
      <c r="F160" s="45">
        <f t="shared" si="69"/>
        <v>77193</v>
      </c>
      <c r="G160" s="45">
        <f t="shared" si="69"/>
        <v>19661</v>
      </c>
      <c r="H160" s="45">
        <f t="shared" si="69"/>
        <v>0</v>
      </c>
      <c r="I160" s="45">
        <f t="shared" si="69"/>
        <v>51571</v>
      </c>
      <c r="J160" s="45">
        <f t="shared" si="69"/>
        <v>5961</v>
      </c>
      <c r="K160" s="45">
        <f t="shared" ref="K160:O160" si="70">SUM(K161:K165)</f>
        <v>28556</v>
      </c>
      <c r="L160" s="45">
        <f t="shared" si="70"/>
        <v>11542</v>
      </c>
      <c r="M160" s="45">
        <f t="shared" si="70"/>
        <v>0</v>
      </c>
      <c r="N160" s="45">
        <f t="shared" si="70"/>
        <v>17014</v>
      </c>
      <c r="O160" s="45">
        <f t="shared" si="70"/>
        <v>0</v>
      </c>
      <c r="P160" s="29"/>
    </row>
    <row r="161" spans="1:16" s="82" customFormat="1" ht="26.25" customHeight="1">
      <c r="A161" s="32"/>
      <c r="B161" s="51"/>
      <c r="C161" s="92" t="s">
        <v>149</v>
      </c>
      <c r="D161" s="35">
        <v>0</v>
      </c>
      <c r="E161" s="35">
        <v>0</v>
      </c>
      <c r="F161" s="35">
        <f>SUM(G161:J161)</f>
        <v>12100</v>
      </c>
      <c r="G161" s="48">
        <v>2262</v>
      </c>
      <c r="H161" s="48">
        <v>0</v>
      </c>
      <c r="I161" s="48">
        <v>9838</v>
      </c>
      <c r="J161" s="35">
        <v>0</v>
      </c>
      <c r="K161" s="35">
        <f>SUM(L161:O161)</f>
        <v>0</v>
      </c>
      <c r="L161" s="48">
        <v>0</v>
      </c>
      <c r="M161" s="48">
        <v>0</v>
      </c>
      <c r="N161" s="48">
        <v>0</v>
      </c>
      <c r="O161" s="35">
        <v>0</v>
      </c>
      <c r="P161" s="36" t="s">
        <v>187</v>
      </c>
    </row>
    <row r="162" spans="1:16" s="82" customFormat="1" ht="27" customHeight="1">
      <c r="A162" s="32"/>
      <c r="B162" s="51"/>
      <c r="C162" s="92" t="s">
        <v>150</v>
      </c>
      <c r="D162" s="35">
        <v>0</v>
      </c>
      <c r="E162" s="35">
        <v>0</v>
      </c>
      <c r="F162" s="35">
        <f>SUM(G162:J162)</f>
        <v>28732</v>
      </c>
      <c r="G162" s="48">
        <v>5373</v>
      </c>
      <c r="H162" s="48">
        <v>0</v>
      </c>
      <c r="I162" s="48">
        <v>23359</v>
      </c>
      <c r="J162" s="35">
        <v>0</v>
      </c>
      <c r="K162" s="35">
        <f>SUM(L162:O162)</f>
        <v>0</v>
      </c>
      <c r="L162" s="48">
        <v>0</v>
      </c>
      <c r="M162" s="48">
        <v>0</v>
      </c>
      <c r="N162" s="48">
        <v>0</v>
      </c>
      <c r="O162" s="35">
        <v>0</v>
      </c>
      <c r="P162" s="39"/>
    </row>
    <row r="163" spans="1:16" s="82" customFormat="1" ht="21" customHeight="1">
      <c r="A163" s="90"/>
      <c r="B163" s="54"/>
      <c r="C163" s="93" t="s">
        <v>151</v>
      </c>
      <c r="D163" s="53">
        <v>0</v>
      </c>
      <c r="E163" s="53">
        <v>0</v>
      </c>
      <c r="F163" s="53">
        <f>SUM(G163:J163)</f>
        <v>22600</v>
      </c>
      <c r="G163" s="75">
        <v>4226</v>
      </c>
      <c r="H163" s="75">
        <v>0</v>
      </c>
      <c r="I163" s="75">
        <v>18374</v>
      </c>
      <c r="J163" s="53">
        <v>0</v>
      </c>
      <c r="K163" s="53">
        <f>SUM(L163:O163)</f>
        <v>20756</v>
      </c>
      <c r="L163" s="75">
        <v>3742</v>
      </c>
      <c r="M163" s="75">
        <v>0</v>
      </c>
      <c r="N163" s="75">
        <v>17014</v>
      </c>
      <c r="O163" s="53">
        <v>0</v>
      </c>
      <c r="P163" s="89"/>
    </row>
    <row r="164" spans="1:16" ht="63" customHeight="1">
      <c r="A164" s="51"/>
      <c r="B164" s="51"/>
      <c r="C164" s="77" t="s">
        <v>105</v>
      </c>
      <c r="D164" s="53">
        <v>0</v>
      </c>
      <c r="E164" s="53">
        <v>0</v>
      </c>
      <c r="F164" s="53">
        <f>SUM(G164:J164)</f>
        <v>7800</v>
      </c>
      <c r="G164" s="53">
        <v>7800</v>
      </c>
      <c r="H164" s="53">
        <v>0</v>
      </c>
      <c r="I164" s="53">
        <v>0</v>
      </c>
      <c r="J164" s="53">
        <v>0</v>
      </c>
      <c r="K164" s="53">
        <f>SUM(L164:O164)</f>
        <v>7800</v>
      </c>
      <c r="L164" s="53">
        <v>7800</v>
      </c>
      <c r="M164" s="53">
        <v>0</v>
      </c>
      <c r="N164" s="53">
        <v>0</v>
      </c>
      <c r="O164" s="53">
        <v>0</v>
      </c>
      <c r="P164" s="18" t="s">
        <v>106</v>
      </c>
    </row>
    <row r="165" spans="1:16" ht="50.25" customHeight="1">
      <c r="A165" s="51"/>
      <c r="B165" s="51"/>
      <c r="C165" s="94" t="s">
        <v>58</v>
      </c>
      <c r="D165" s="48">
        <v>0</v>
      </c>
      <c r="E165" s="48">
        <v>0</v>
      </c>
      <c r="F165" s="48">
        <f>SUM(G165:J165)</f>
        <v>5961</v>
      </c>
      <c r="G165" s="48">
        <v>0</v>
      </c>
      <c r="H165" s="48">
        <v>0</v>
      </c>
      <c r="I165" s="48">
        <v>0</v>
      </c>
      <c r="J165" s="48">
        <v>5961</v>
      </c>
      <c r="K165" s="48">
        <f>SUM(L165:O165)</f>
        <v>0</v>
      </c>
      <c r="L165" s="48">
        <v>0</v>
      </c>
      <c r="M165" s="48">
        <v>0</v>
      </c>
      <c r="N165" s="48">
        <v>0</v>
      </c>
      <c r="O165" s="48">
        <v>0</v>
      </c>
      <c r="P165" s="95" t="s">
        <v>167</v>
      </c>
    </row>
    <row r="166" spans="1:16" s="101" customFormat="1" ht="18" customHeight="1">
      <c r="A166" s="96" t="s">
        <v>216</v>
      </c>
      <c r="B166" s="97"/>
      <c r="C166" s="98"/>
      <c r="D166" s="99">
        <f t="shared" ref="D166:J166" si="71">SUM(D15+D36+D39+D44+D102+D108+D112+D134+D140+D143+D146+D152+D156+D159)</f>
        <v>148920722</v>
      </c>
      <c r="E166" s="99">
        <f t="shared" si="71"/>
        <v>10891174</v>
      </c>
      <c r="F166" s="99">
        <f t="shared" si="71"/>
        <v>34424387</v>
      </c>
      <c r="G166" s="99">
        <f t="shared" si="71"/>
        <v>28023055</v>
      </c>
      <c r="H166" s="99">
        <f t="shared" si="71"/>
        <v>1305000</v>
      </c>
      <c r="I166" s="99">
        <f t="shared" si="71"/>
        <v>4925371</v>
      </c>
      <c r="J166" s="99">
        <f t="shared" si="71"/>
        <v>170961</v>
      </c>
      <c r="K166" s="99">
        <f t="shared" ref="K166:O166" si="72">SUM(K15+K36+K39+K44+K102+K108+K112+K134+K140+K143+K146+K152+K156+K159)</f>
        <v>14722396</v>
      </c>
      <c r="L166" s="99">
        <f t="shared" si="72"/>
        <v>14182443</v>
      </c>
      <c r="M166" s="99">
        <f t="shared" si="72"/>
        <v>186369</v>
      </c>
      <c r="N166" s="99">
        <f t="shared" si="72"/>
        <v>353584</v>
      </c>
      <c r="O166" s="99">
        <f t="shared" si="72"/>
        <v>0</v>
      </c>
      <c r="P166" s="100"/>
    </row>
    <row r="168" spans="1:16">
      <c r="C168" s="102"/>
      <c r="D168" s="103"/>
      <c r="E168" s="104"/>
      <c r="F168" s="103"/>
      <c r="G168" s="103"/>
      <c r="H168" s="103"/>
      <c r="I168" s="103"/>
      <c r="J168" s="103"/>
      <c r="K168" s="104"/>
      <c r="L168" s="104"/>
      <c r="M168" s="104"/>
      <c r="N168" s="104"/>
      <c r="O168" s="104"/>
    </row>
    <row r="170" spans="1:16">
      <c r="C170" s="102"/>
      <c r="D170" s="103"/>
      <c r="E170" s="104"/>
      <c r="F170" s="103"/>
      <c r="G170" s="103"/>
      <c r="H170" s="103"/>
      <c r="I170" s="103"/>
      <c r="J170" s="103"/>
      <c r="K170" s="104"/>
      <c r="L170" s="104"/>
      <c r="M170" s="104"/>
      <c r="N170" s="104"/>
      <c r="O170" s="104"/>
    </row>
  </sheetData>
  <mergeCells count="31">
    <mergeCell ref="P83:P93"/>
    <mergeCell ref="A166:C166"/>
    <mergeCell ref="P106:P107"/>
    <mergeCell ref="P148:P149"/>
    <mergeCell ref="P99:P101"/>
    <mergeCell ref="A6:P6"/>
    <mergeCell ref="F11:J11"/>
    <mergeCell ref="G12:J12"/>
    <mergeCell ref="F12:F13"/>
    <mergeCell ref="P161:P163"/>
    <mergeCell ref="P110:P111"/>
    <mergeCell ref="P116:P128"/>
    <mergeCell ref="P41:P42"/>
    <mergeCell ref="P46:P47"/>
    <mergeCell ref="E10:E13"/>
    <mergeCell ref="D10:D13"/>
    <mergeCell ref="P130:P133"/>
    <mergeCell ref="C10:C13"/>
    <mergeCell ref="B10:B13"/>
    <mergeCell ref="A10:A13"/>
    <mergeCell ref="P49:P59"/>
    <mergeCell ref="P60:P82"/>
    <mergeCell ref="F10:J10"/>
    <mergeCell ref="K10:O10"/>
    <mergeCell ref="K11:O11"/>
    <mergeCell ref="K12:K13"/>
    <mergeCell ref="L12:O12"/>
    <mergeCell ref="P10:P13"/>
    <mergeCell ref="P17:P19"/>
    <mergeCell ref="P22:P26"/>
    <mergeCell ref="P27:P29"/>
  </mergeCells>
  <phoneticPr fontId="1" type="noConversion"/>
  <printOptions horizontalCentered="1"/>
  <pageMargins left="0" right="0" top="0.59055118110236227" bottom="0.39370078740157483" header="0" footer="0"/>
  <pageSetup paperSize="9" scale="65" orientation="landscape" r:id="rId1"/>
  <headerFooter alignWithMargins="0">
    <oddFooter>Strona &amp;P z &amp;N</oddFooter>
  </headerFooter>
  <rowBreaks count="6" manualBreakCount="6">
    <brk id="33" max="15" man="1"/>
    <brk id="59" max="15" man="1"/>
    <brk id="82" max="15" man="1"/>
    <brk id="107" max="15" man="1"/>
    <brk id="136" max="15" man="1"/>
    <brk id="16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df0023b</cp:lastModifiedBy>
  <cp:lastPrinted>2011-08-19T06:50:18Z</cp:lastPrinted>
  <dcterms:created xsi:type="dcterms:W3CDTF">2010-11-24T14:24:05Z</dcterms:created>
  <dcterms:modified xsi:type="dcterms:W3CDTF">2011-09-19T06:51:02Z</dcterms:modified>
</cp:coreProperties>
</file>