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65" windowWidth="19020" windowHeight="12450"/>
  </bookViews>
  <sheets>
    <sheet name="inwestycje" sheetId="1" r:id="rId1"/>
  </sheets>
  <definedNames>
    <definedName name="_xlnm.Print_Area" localSheetId="0">inwestycje!$A$1:$J$184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F23" i="1"/>
  <c r="F22"/>
  <c r="D135" l="1"/>
  <c r="E181" l="1"/>
  <c r="D180"/>
  <c r="E135"/>
  <c r="E134" s="1"/>
  <c r="I134"/>
  <c r="H134"/>
  <c r="G134"/>
  <c r="F134"/>
  <c r="D134"/>
  <c r="F110"/>
  <c r="F103"/>
  <c r="F102"/>
  <c r="F93"/>
  <c r="F92"/>
  <c r="F83"/>
  <c r="D58"/>
  <c r="D50" l="1"/>
  <c r="F71" l="1"/>
  <c r="D53"/>
  <c r="G46"/>
  <c r="H46"/>
  <c r="I46"/>
  <c r="E115"/>
  <c r="D60" l="1"/>
  <c r="F70"/>
  <c r="D54"/>
  <c r="D62"/>
  <c r="D61"/>
  <c r="D64"/>
  <c r="D56"/>
  <c r="D51"/>
  <c r="D59"/>
  <c r="D55"/>
  <c r="E174" l="1"/>
  <c r="E173" s="1"/>
  <c r="E172" s="1"/>
  <c r="I173"/>
  <c r="I172" s="1"/>
  <c r="H173"/>
  <c r="G173"/>
  <c r="G172" s="1"/>
  <c r="F173"/>
  <c r="F172" s="1"/>
  <c r="D173"/>
  <c r="H172"/>
  <c r="D172"/>
  <c r="F104" l="1"/>
  <c r="F46" s="1"/>
  <c r="D48"/>
  <c r="E114" l="1"/>
  <c r="D153" l="1"/>
  <c r="G153"/>
  <c r="H153"/>
  <c r="I153"/>
  <c r="F153"/>
  <c r="E156"/>
  <c r="D152" l="1"/>
  <c r="F152"/>
  <c r="H152"/>
  <c r="I152"/>
  <c r="E154"/>
  <c r="E153" s="1"/>
  <c r="E155"/>
  <c r="G152"/>
  <c r="E152" l="1"/>
  <c r="F137"/>
  <c r="D67" l="1"/>
  <c r="D49" l="1"/>
  <c r="E38" l="1"/>
  <c r="I37" l="1"/>
  <c r="H37"/>
  <c r="G37"/>
  <c r="F37"/>
  <c r="E37"/>
  <c r="D37"/>
  <c r="D159" l="1"/>
  <c r="E72" l="1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D57" l="1"/>
  <c r="D65"/>
  <c r="D63"/>
  <c r="D52"/>
  <c r="D46" l="1"/>
  <c r="D45"/>
  <c r="E71" l="1"/>
  <c r="F140" l="1"/>
  <c r="E142" l="1"/>
  <c r="E178" l="1"/>
  <c r="F160" l="1"/>
  <c r="G160"/>
  <c r="H160"/>
  <c r="I160"/>
  <c r="D161"/>
  <c r="E161"/>
  <c r="E67" l="1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69"/>
  <c r="E70"/>
  <c r="E68"/>
  <c r="D116"/>
  <c r="F116"/>
  <c r="E117"/>
  <c r="E118"/>
  <c r="E24"/>
  <c r="E25"/>
  <c r="E26"/>
  <c r="E22"/>
  <c r="E23"/>
  <c r="E46" l="1"/>
  <c r="E18"/>
  <c r="E19"/>
  <c r="E20"/>
  <c r="E21"/>
  <c r="D27" l="1"/>
  <c r="F17" l="1"/>
  <c r="G17"/>
  <c r="H17"/>
  <c r="I17"/>
  <c r="F145" l="1"/>
  <c r="G138" l="1"/>
  <c r="H138"/>
  <c r="I138"/>
  <c r="E132" l="1"/>
  <c r="E131" s="1"/>
  <c r="E130" s="1"/>
  <c r="I131"/>
  <c r="I130" s="1"/>
  <c r="H131"/>
  <c r="H130" s="1"/>
  <c r="G131"/>
  <c r="G130" s="1"/>
  <c r="F131"/>
  <c r="F130" s="1"/>
  <c r="D131"/>
  <c r="D130" s="1"/>
  <c r="E171" l="1"/>
  <c r="E170" s="1"/>
  <c r="I170"/>
  <c r="H170"/>
  <c r="G170"/>
  <c r="F170"/>
  <c r="D170"/>
  <c r="E116" l="1"/>
  <c r="I116"/>
  <c r="H116"/>
  <c r="G116"/>
  <c r="F149" l="1"/>
  <c r="G149"/>
  <c r="H149"/>
  <c r="I149"/>
  <c r="D149"/>
  <c r="E151"/>
  <c r="I148" l="1"/>
  <c r="F148"/>
  <c r="G148"/>
  <c r="H148"/>
  <c r="D148"/>
  <c r="E150"/>
  <c r="E149" s="1"/>
  <c r="E148" s="1"/>
  <c r="D158" l="1"/>
  <c r="F158"/>
  <c r="G158"/>
  <c r="H158"/>
  <c r="I158"/>
  <c r="E159"/>
  <c r="E45" l="1"/>
  <c r="E44"/>
  <c r="D17" l="1"/>
  <c r="E183"/>
  <c r="E182"/>
  <c r="E179"/>
  <c r="E164"/>
  <c r="E163" s="1"/>
  <c r="F138"/>
  <c r="E166"/>
  <c r="E165" s="1"/>
  <c r="I165"/>
  <c r="H165"/>
  <c r="G165"/>
  <c r="F165"/>
  <c r="D165"/>
  <c r="I163"/>
  <c r="H163"/>
  <c r="G163"/>
  <c r="D163"/>
  <c r="E162"/>
  <c r="E160" s="1"/>
  <c r="D162"/>
  <c r="D160" s="1"/>
  <c r="E158"/>
  <c r="E145"/>
  <c r="E144" s="1"/>
  <c r="I144"/>
  <c r="H144"/>
  <c r="G144"/>
  <c r="F144"/>
  <c r="D144"/>
  <c r="D157" l="1"/>
  <c r="F163"/>
  <c r="F157" s="1"/>
  <c r="G157"/>
  <c r="H157"/>
  <c r="I157"/>
  <c r="E157"/>
  <c r="E141"/>
  <c r="E139"/>
  <c r="E28"/>
  <c r="E31"/>
  <c r="E36"/>
  <c r="E125"/>
  <c r="E124" s="1"/>
  <c r="I125"/>
  <c r="I124" s="1"/>
  <c r="H125"/>
  <c r="H124" s="1"/>
  <c r="G125"/>
  <c r="G124" s="1"/>
  <c r="F125"/>
  <c r="F124" s="1"/>
  <c r="D125"/>
  <c r="D124" s="1"/>
  <c r="E180" l="1"/>
  <c r="F168"/>
  <c r="F167" s="1"/>
  <c r="G168"/>
  <c r="G167" s="1"/>
  <c r="H168"/>
  <c r="H167" s="1"/>
  <c r="I168"/>
  <c r="I167" s="1"/>
  <c r="E169" l="1"/>
  <c r="D176" l="1"/>
  <c r="D138" l="1"/>
  <c r="F176"/>
  <c r="F175" s="1"/>
  <c r="G176"/>
  <c r="G175" s="1"/>
  <c r="H176"/>
  <c r="H175" s="1"/>
  <c r="I176"/>
  <c r="I175" s="1"/>
  <c r="D175"/>
  <c r="E29"/>
  <c r="E177"/>
  <c r="E168"/>
  <c r="E167" s="1"/>
  <c r="E146"/>
  <c r="F146"/>
  <c r="G146"/>
  <c r="H146"/>
  <c r="I146"/>
  <c r="D146"/>
  <c r="E140"/>
  <c r="E143"/>
  <c r="E137"/>
  <c r="E136" s="1"/>
  <c r="F136"/>
  <c r="G136"/>
  <c r="G133" s="1"/>
  <c r="H136"/>
  <c r="H133" s="1"/>
  <c r="I136"/>
  <c r="D136"/>
  <c r="D133" s="1"/>
  <c r="E129"/>
  <c r="F128"/>
  <c r="F127" s="1"/>
  <c r="G128"/>
  <c r="G127" s="1"/>
  <c r="H128"/>
  <c r="H127" s="1"/>
  <c r="I128"/>
  <c r="I127" s="1"/>
  <c r="D128"/>
  <c r="D127" s="1"/>
  <c r="E123"/>
  <c r="F122"/>
  <c r="G122"/>
  <c r="H122"/>
  <c r="I122"/>
  <c r="E121"/>
  <c r="E120" s="1"/>
  <c r="F120"/>
  <c r="G120"/>
  <c r="H120"/>
  <c r="I120"/>
  <c r="E43"/>
  <c r="F43"/>
  <c r="G43"/>
  <c r="H43"/>
  <c r="I43"/>
  <c r="D120"/>
  <c r="E41"/>
  <c r="E40" s="1"/>
  <c r="E39" s="1"/>
  <c r="F40"/>
  <c r="F39" s="1"/>
  <c r="G40"/>
  <c r="G39" s="1"/>
  <c r="H40"/>
  <c r="H39" s="1"/>
  <c r="I40"/>
  <c r="I39" s="1"/>
  <c r="D40"/>
  <c r="D39" s="1"/>
  <c r="E34"/>
  <c r="E33" s="1"/>
  <c r="F33"/>
  <c r="G33"/>
  <c r="H33"/>
  <c r="I33"/>
  <c r="D33"/>
  <c r="E35"/>
  <c r="F35"/>
  <c r="F16" s="1"/>
  <c r="G35"/>
  <c r="H35"/>
  <c r="I35"/>
  <c r="D35"/>
  <c r="D16" s="1"/>
  <c r="E30"/>
  <c r="G27"/>
  <c r="F27"/>
  <c r="H27"/>
  <c r="I27"/>
  <c r="E17"/>
  <c r="E32"/>
  <c r="D122"/>
  <c r="D43"/>
  <c r="I133" l="1"/>
  <c r="F133"/>
  <c r="G16"/>
  <c r="I16"/>
  <c r="H16"/>
  <c r="D42"/>
  <c r="H42"/>
  <c r="E138"/>
  <c r="E133" s="1"/>
  <c r="G42"/>
  <c r="G184" s="1"/>
  <c r="I42"/>
  <c r="F42"/>
  <c r="E27"/>
  <c r="E16" s="1"/>
  <c r="D168"/>
  <c r="D167" s="1"/>
  <c r="E176"/>
  <c r="E175" s="1"/>
  <c r="E122"/>
  <c r="E42" s="1"/>
  <c r="E128"/>
  <c r="E127" s="1"/>
  <c r="H184" l="1"/>
  <c r="I184"/>
  <c r="D184"/>
  <c r="E184"/>
  <c r="F184"/>
</calcChain>
</file>

<file path=xl/sharedStrings.xml><?xml version="1.0" encoding="utf-8"?>
<sst xmlns="http://schemas.openxmlformats.org/spreadsheetml/2006/main" count="265" uniqueCount="224">
  <si>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</si>
  <si>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</si>
  <si>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</si>
  <si>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</si>
  <si>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</si>
  <si>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</si>
  <si>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</si>
  <si>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</si>
  <si>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</si>
  <si>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</si>
  <si>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</si>
  <si>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</si>
  <si>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</si>
  <si>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</si>
  <si>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</si>
  <si>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</si>
  <si>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</si>
  <si>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</si>
  <si>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</si>
  <si>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</si>
  <si>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</si>
  <si>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</si>
  <si>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</si>
  <si>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>Rozbudowa drogi wojewódzkiej nr 513 na odcinku Orneta - Lidzbark Warmiński wraz z m. Orneta i Lidzbark Warmiński</t>
  </si>
  <si>
    <t>Rozbudowa drogi wojewódzkiej nr 519 na odcinku Małdyty - Morąg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</si>
  <si>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</si>
  <si>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</si>
  <si>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</si>
  <si>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</si>
  <si>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</si>
  <si>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</si>
  <si>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</si>
  <si>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</si>
  <si>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</si>
  <si>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</si>
  <si>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</si>
  <si>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</si>
  <si>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</si>
  <si>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</si>
  <si>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</si>
  <si>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</si>
  <si>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</si>
  <si>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</si>
  <si>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</si>
  <si>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</si>
  <si>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</si>
  <si>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</si>
  <si>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</si>
  <si>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</si>
  <si>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</si>
  <si>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</si>
  <si>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</si>
  <si>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</si>
  <si>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</si>
  <si>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</si>
  <si>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</si>
  <si>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</si>
  <si>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</si>
  <si>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</si>
  <si>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</si>
  <si>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</si>
  <si>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</si>
  <si>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</si>
  <si>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</si>
  <si>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</si>
  <si>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</si>
  <si>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</si>
  <si>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</si>
  <si>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</si>
  <si>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>Pomoc Techniczna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</si>
  <si>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</si>
  <si>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</si>
  <si>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</si>
  <si>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</si>
  <si>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</si>
  <si>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</si>
  <si>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</si>
  <si>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</si>
  <si>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</si>
  <si>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</si>
  <si>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</si>
  <si>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</si>
  <si>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Zakup sprzętu teleinformatycznego</t>
  </si>
  <si>
    <t>75075</t>
  </si>
  <si>
    <t>Promocja jednostek samorządu terytorialnego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</si>
  <si>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</si>
  <si>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</si>
  <si>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</si>
  <si>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</si>
  <si>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</si>
  <si>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</si>
  <si>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</si>
  <si>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Szkoły zawodowe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</si>
  <si>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</si>
  <si>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</si>
  <si>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</si>
  <si>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</si>
  <si>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</si>
  <si>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</si>
  <si>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</si>
  <si>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Żuławski Zarząd Melioracji 
i Urządzeń Wodnych 
w Elblągu</t>
  </si>
  <si>
    <t>Welski Park Krajobrazowy w Jeleniu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</si>
  <si>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</si>
  <si>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</si>
  <si>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</si>
  <si>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</si>
  <si>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</si>
  <si>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</si>
  <si>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Zakup 3 szt. dwuczłonowych autobusów szynowych 
(umowa leasingu finansowego)</t>
  </si>
  <si>
    <t>Ogrody botaniczne i zoologiczne oraz naturalne obszary 
i obiekty chronionej przyrody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</si>
  <si>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</si>
  <si>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</si>
  <si>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</si>
  <si>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</si>
  <si>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</si>
  <si>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</si>
  <si>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</si>
  <si>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</si>
  <si>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</si>
  <si>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</si>
  <si>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</si>
  <si>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60014</t>
  </si>
  <si>
    <t>Drogi publiczne powiatowe</t>
  </si>
  <si>
    <t>85395</t>
  </si>
  <si>
    <t>Program Operacyjny Kapitał Ludzki</t>
  </si>
  <si>
    <t>710</t>
  </si>
  <si>
    <t>71005</t>
  </si>
  <si>
    <t>Prace geologiczne (nieinwestycyjne)</t>
  </si>
  <si>
    <t xml:space="preserve">Działalność usługowa </t>
  </si>
  <si>
    <t>Zadania inwestycyjne (roczne i wieloletnie) przewidziane do realizacji w 2014 roku</t>
  </si>
  <si>
    <t>Nazwa zadania inwestycyjnego 
realizowanego w 2014 roku</t>
  </si>
  <si>
    <t>Planowane wydatki na inwestycje wieloletnie przewidziane do realizacji 
w 2014 roku</t>
  </si>
  <si>
    <t>Rok 
budżetowy 2014
(6 do 9)</t>
  </si>
  <si>
    <t>Utwardzenie placu przy budynku biurowym RO ZMiUW w Mrągowie, przy ulicy Widok 7, wraz z wykonaniem odwodnienia terenu</t>
  </si>
  <si>
    <t>Utwardzenie dojazdu do budynku i placu przy budynku biurowym RO ZMiUW w Działdowie, przy ulicy Grunwaldzkiej 21</t>
  </si>
  <si>
    <t>Doprowadzenie przyłącza energetycznego do garażu Rejonowego Oddziału ZMiUW w Giżycku, przy ulicy Łuczańskiej 1</t>
  </si>
  <si>
    <t>Partycypacja w kosztach wykonania i montażu windy dla osób niepełnosprawnych oraz w kosztach budowy bramy wjazdowej i ogrodzenia przy budynku administracyjnym w Bartoszycach, przy ulicy Grota Roweckiego 1</t>
  </si>
  <si>
    <t>Zakup samochodu terenowego</t>
  </si>
  <si>
    <t>Zakup sprzętu komputerowego</t>
  </si>
  <si>
    <t xml:space="preserve">Budynek administracyjny w Elblągu ul. Junaków 3
Naprawa schodów zewnętrznych i przełożenie chodnika
</t>
  </si>
  <si>
    <t xml:space="preserve">Budynek garażowy w Elblągu ul. Junaków 3
Odnowienie elewacji i pokrycie dachu papą wraz z obróbką
</t>
  </si>
  <si>
    <t>Budynek magazynu p.powodziowego w Elblągu ul. Warszawska 132
Remont kanalizacji, likwidacja szamba, przełożenie rurociągu, naprawa wrót wejściowych, pokrycie dachu papą</t>
  </si>
  <si>
    <t>Zakup samochodu dziewięcioosobowego w leasingu</t>
  </si>
  <si>
    <t>Ocieplenie budynku  biurowego w RDW Nidzica wraz z wymianą schodów i wykonaniem zadaszenia schodów prowadzących do kotlowni i archiwum</t>
  </si>
  <si>
    <t>Rozbiórka wiaduktu kratownicowego nad linią kolejową w Morągu DW 527</t>
  </si>
  <si>
    <t xml:space="preserve">Rozbudowa drogi wojewódzkiej nr 503 na odcinku Elbląg - Tolkmicko - Pogrodzie  </t>
  </si>
  <si>
    <t>Dostosowanie budynku Biblioteki w Olsztynie ul. Natalii Żarskiej 
2 do wymagań bezpieczeństwa pożarowego</t>
  </si>
  <si>
    <t>Zakup tablicy interaktywnej</t>
  </si>
  <si>
    <t>Termomodernizacja budynków szkoły przy ul. Mariańskiej 3A w Olsztynie</t>
  </si>
  <si>
    <t>Szkoła Policealna 
im. Prof. Zbigniewa Religi 
w Olsztynie</t>
  </si>
  <si>
    <t>Zakup samochodu</t>
  </si>
  <si>
    <t>Wydatki na zakupy inwestycyjne, w tym: sprzęt komputerowy 
i informatyczny w ramach PROW 2007-2013</t>
  </si>
  <si>
    <t xml:space="preserve">Zakupy inwestycyjne w ramach PO RYBY 2007-2013, m.in. zakup kserokopiarek wielofunkcyjnych </t>
  </si>
  <si>
    <t>Zakup programu geologicznego</t>
  </si>
  <si>
    <t>Modernizacja budynku administracyjnego przy ul. E. Plater 1 na potrzeby Urzędu Marszałkowskiego Województwa Warmińsko-Mazurskiego</t>
  </si>
  <si>
    <t>Przebudowa budynku administracyjnego przy ul. Głowackiego 17 na potrzeby Urzędu Marszałkowskiego Województwa Warmińsko-Mazurskiego</t>
  </si>
  <si>
    <t xml:space="preserve">Data Center </t>
  </si>
  <si>
    <t>Przebudowa mostu przez rzekę Drwęcę Warmińską w miejscowości Orneta w ciągu ulicy Młynarskiej (wspólny przebieg dróg wojewódzkich drogi nr 507 i nr 513)</t>
  </si>
  <si>
    <t>Przebudowa istniejących zjazdów w granicach pasa drogowego drogi wojewódzkiej nr 667 na odcinku Nowa Wieś Ełcka - Biała Piska</t>
  </si>
  <si>
    <t xml:space="preserve">Rozbudowa drogi wojewódzkiej nr 507 w miejscowości Kunik w zakresie chodnika  </t>
  </si>
  <si>
    <t xml:space="preserve">Budowa chodnika zlokalizowanego w ciągu drogi wojewódzkiej nr 511 w miejscowości Zielenica </t>
  </si>
  <si>
    <t xml:space="preserve">Budowa chodnika DW 513 Lidzbark Warm ul. Warmińska </t>
  </si>
  <si>
    <t xml:space="preserve">Budowa chodnika DW 528 Morąg ul. Żeromskiego </t>
  </si>
  <si>
    <t>Budowa chodnika DW 537 w msc. Marcinkowo</t>
  </si>
  <si>
    <t>Budowa chodnika DW 541  w msc. Lidzbark ul. Zieluńska</t>
  </si>
  <si>
    <t>Budowa chodnika DW  590  w msc. Łężany</t>
  </si>
  <si>
    <t>Rozbudowa drogi wojewódzkiej nr 593 w miejscowości Łęgno w zakresie chodnika wraz z dwoma zatokami autobusowymi i wyspą środkową spowalniającą ruch</t>
  </si>
  <si>
    <t>Budowa chodnika DW 596 w msc. Kabiny</t>
  </si>
  <si>
    <t>Budowa chodnika DW 600 w msc. Orżyny</t>
  </si>
  <si>
    <t>Rozbudowa drogi wojewódzkiej nr 609 w miejscowości Mikołajki w zakresie chodnika</t>
  </si>
  <si>
    <t>Budowa chodnika i zatoki autobusowej DW 651 w msc. Galwiecie</t>
  </si>
  <si>
    <t>Budowa chodnika DW 652 w msc. Kowale Oleckie</t>
  </si>
  <si>
    <t xml:space="preserve">Budowa chodników wraz z zakupem materiałów </t>
  </si>
  <si>
    <t>Budowa zatoki autobusowej przy drodze wojewódzkiej nr 610  Śwignajno</t>
  </si>
  <si>
    <t xml:space="preserve">Budowa zatok autobusowych przy drodze wojewódzkiej nr 595 Kronowo  </t>
  </si>
  <si>
    <t>Budowa zatoki autobusowej przy drodze wojewódzkiej nr 538 Gralewo- Stacja</t>
  </si>
  <si>
    <t xml:space="preserve">Budowa zatoki autobusowej przy drodze wojewódzkiej nr  504 Piastowo </t>
  </si>
  <si>
    <t xml:space="preserve">Budowa zatok autobusowych przy drodze wojewódzkiej nr 504 Krzyżewo </t>
  </si>
  <si>
    <t>Rozbudowa skrzyżowania ul. Słowiańskiej  z ul. Mazurską w ciągu drogi wojewódzkiej nr 590 w miejscowości Reszel</t>
  </si>
  <si>
    <t>Wzmocnienie konstrukcji nawierzchni DW 505 odcinkami</t>
  </si>
  <si>
    <t xml:space="preserve">Wzmocnienie konstrukcji nawierzchni DW nr 509 w Młynarach </t>
  </si>
  <si>
    <t>Wzmocnienie konstrukcji nawierzchni DW 526 Buczyniec - Gołutowo</t>
  </si>
  <si>
    <t>Wzmocnienie konstrukcji nawierzchni DW 530 wraz z chodnikami w msc. Łukta</t>
  </si>
  <si>
    <t xml:space="preserve">Budowa chodnika zlokalizowanego w ciągu drogi wojewódzkiej nr 528 w miejscowości Miłakowo wraz z wzmocnieniem konstrukcji nawierzchni DW 528 na odcinku Orneta - Morąg </t>
  </si>
  <si>
    <t xml:space="preserve">Wzmocnienie konstrukcji nawierzchni z poszerzeniem DW 508 Piduń - Wesołowo </t>
  </si>
  <si>
    <t>Wzmocnienie konstrukcji nawierzchni DW 600 Romany - Szczytno</t>
  </si>
  <si>
    <t>Wykonanie zjazdu DW 527 w msc. Łukta</t>
  </si>
  <si>
    <t>Budowa chodnika DW 651 w msc. Gołdap ul. Suwalska</t>
  </si>
  <si>
    <t>Zagospodarowanie przestrzeni publicznej terenu Zespołu Szkół z Ukraińskim Językiem Nauczania w Górowie Iławeckim</t>
  </si>
  <si>
    <t>01078</t>
  </si>
  <si>
    <t>Usuwanie skutków klęsk żywiołowych</t>
  </si>
  <si>
    <t>Odbudowa jazu na rzece Mała Łyna w km 4+000, m. Dobre Miasto, woj. warmińsko-mazurskie</t>
  </si>
  <si>
    <t>Zakup agregatu prądotwórczego dużej mocy</t>
  </si>
  <si>
    <t xml:space="preserve">Zakupy inwestycyjne dt. realizacji zadań z zakresu ochrony przeciwpowodziowej </t>
  </si>
  <si>
    <t>Przebudowa drogi wojewódzkiej nr 531 w msc. Łukta ul. Warszawska</t>
  </si>
  <si>
    <t>Rozbudowa skrzyżowania DW 591 z DP 1699 N w Szestnie i przebudowa 4 przepustów w ciągu DW 591</t>
  </si>
  <si>
    <t>Zakup ubijaka wibracyjno-spalinowego (skoczek)</t>
  </si>
  <si>
    <t xml:space="preserve">Dokumentacje techniczne </t>
  </si>
  <si>
    <t>900</t>
  </si>
  <si>
    <t>90095</t>
  </si>
  <si>
    <t>Gospodarka komunalna i ochrona środowiska</t>
  </si>
  <si>
    <t xml:space="preserve">Zakupy inwestycyjne </t>
  </si>
  <si>
    <t>Rozbudowa drogi wojewódzkiej nr 521 na odcinku granica województwa - Susz od km 25+448 do km 29+198</t>
  </si>
  <si>
    <t>Budowa chodnika w ciągu drogi wojewódzkiej nr 504 w miejscowości Braniewo ul. Elbląska oraz budowa zatok autobusowych w ciągu drogi wojewódzkiej nr 504 w miejscowości Stępień</t>
  </si>
  <si>
    <t>Przebudowa drogi wojewódzkiej nr 527 - budowa chodnika wraz z niezbędną infrastrukturą techniczną w pasie drogi wojewódzkiej nr 527 Pasłęk - Rzędy wraz z wykonaniem robót budowlanych polegających na przebudowie zjazdów publicznych</t>
  </si>
  <si>
    <t xml:space="preserve">Rozbudowa drogi wojewódzkiej nr 537 w miejscowości Napromek w zakresie chodnika wraz z dwiema zatokami autobusowymi oraz przebudowa zatoki autobusowej w ciągu drogi wojewódzkiej nr 537 w miejscowości Złotowo </t>
  </si>
  <si>
    <t>Budowa ciągu pieszo-rowerowego w m. Sterławki Małe, wzdłuż drogi wojewódzkiej nr 592, gm. Giżycko, powiat giżycki</t>
  </si>
  <si>
    <t>Budowa obustronnych chodników przy drodze wojewódzkiej nr 592 w m. Sterławki Wielkie</t>
  </si>
  <si>
    <t>Rozbudowa drogi wojewódzkiej nr 593 w zakresie budowy chodnika zlokalizowanego w miejscowości Dobre Miasto ul. Jeziorańska</t>
  </si>
  <si>
    <t>Rozbudowa skrzyżowania ul. Zieluńskiej (droga wojewódzka nr 541), ul. Żeromskiego, ul. 3 Maja (drogi powiatowe) oraz ul. Słonecznej (droga gminna) w Lidzbarku</t>
  </si>
  <si>
    <t>Naprawa powstałego osuwiska w ciągu drogi wojewódzkiej nr 511 na odcinku Lidzbark Warmiński - Redy</t>
  </si>
  <si>
    <t>Rozbudowa drogi wojewódzkiej nr 598 w m. Zgniłocha</t>
  </si>
  <si>
    <t>Załącznik Nr 2</t>
  </si>
  <si>
    <t>Przebudowa drogi wojewódzkiej nr 506 na odcinku Chruściel - Piórkowo</t>
  </si>
  <si>
    <t>Rozbudowa drogi wojewódzkiej nr 592 na odcinku Bartoszyce - Sędławki, rozbudowa od zjazdu do firmy WM Glass do skrzyżowania z drogą powiatową  nr 1563 N oraz budową ciągu pieszo-rowerowego w Bartoszycach</t>
  </si>
  <si>
    <t>75001</t>
  </si>
  <si>
    <t>Urzędy naczelnych i centralnych organów administracji rządowej</t>
  </si>
  <si>
    <t>Zakup kserokopiarek</t>
  </si>
  <si>
    <t>Rozbudowa bazy edukacyjnej Parku Krajobrazowego Puszczy Rominckiej (budowa wiaty drewnianej, stół, ławy)</t>
  </si>
  <si>
    <t>Wzmocnienie konstrukcji nawierzchni DW 545 na odc. Nowe Borowe - Jedwabno</t>
  </si>
  <si>
    <t>Warmińsko-Mazurskiego</t>
  </si>
  <si>
    <t>Zarządu Województwa</t>
  </si>
  <si>
    <t>do Uchwały Nr 37/471/14/IV</t>
  </si>
  <si>
    <t>z dnia 8 lipca 2014 r.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</si>
</sst>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u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</cellStyleXfs>
  <cellXfs count="190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vertical="top"/>
    </xf>
    <xf numFmtId="3" fontId="5" fillId="2" borderId="0" xfId="0" applyNumberFormat="1" applyFont="1" applyFill="1" applyBorder="1" applyAlignment="1" applyProtection="1">
      <alignment horizontal="left" vertical="center"/>
      <protection locked="0"/>
    </xf>
    <xf numFmtId="3" fontId="5" fillId="2" borderId="0" xfId="0" applyNumberFormat="1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5" fillId="2" borderId="3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49" fontId="5" fillId="5" borderId="2" xfId="0" applyNumberFormat="1" applyFont="1" applyFill="1" applyBorder="1" applyAlignment="1">
      <alignment vertical="center"/>
    </xf>
    <xf numFmtId="49" fontId="5" fillId="5" borderId="2" xfId="0" applyNumberFormat="1" applyFont="1" applyFill="1" applyBorder="1" applyAlignment="1">
      <alignment vertical="top"/>
    </xf>
    <xf numFmtId="49" fontId="5" fillId="5" borderId="11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>
      <alignment horizontal="right"/>
    </xf>
    <xf numFmtId="0" fontId="5" fillId="5" borderId="3" xfId="0" applyFont="1" applyFill="1" applyBorder="1" applyAlignment="1">
      <alignment horizontal="center" vertical="center" wrapText="1"/>
    </xf>
    <xf numFmtId="0" fontId="5" fillId="5" borderId="0" xfId="0" applyFont="1" applyFill="1"/>
    <xf numFmtId="0" fontId="5" fillId="0" borderId="2" xfId="0" applyFont="1" applyBorder="1" applyAlignment="1">
      <alignment horizontal="center" vertical="center" wrapText="1"/>
    </xf>
    <xf numFmtId="49" fontId="5" fillId="5" borderId="4" xfId="0" applyNumberFormat="1" applyFont="1" applyFill="1" applyBorder="1" applyAlignment="1">
      <alignment vertical="top" wrapText="1"/>
    </xf>
    <xf numFmtId="3" fontId="5" fillId="5" borderId="7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vertical="center" wrapText="1"/>
    </xf>
    <xf numFmtId="3" fontId="5" fillId="5" borderId="11" xfId="0" applyNumberFormat="1" applyFont="1" applyFill="1" applyBorder="1" applyAlignment="1">
      <alignment horizontal="right"/>
    </xf>
    <xf numFmtId="49" fontId="5" fillId="5" borderId="6" xfId="0" applyNumberFormat="1" applyFont="1" applyFill="1" applyBorder="1" applyAlignment="1">
      <alignment vertical="top" wrapText="1"/>
    </xf>
    <xf numFmtId="3" fontId="5" fillId="5" borderId="12" xfId="0" applyNumberFormat="1" applyFont="1" applyFill="1" applyBorder="1" applyAlignment="1">
      <alignment horizontal="right"/>
    </xf>
    <xf numFmtId="3" fontId="5" fillId="0" borderId="12" xfId="0" applyNumberFormat="1" applyFont="1" applyFill="1" applyBorder="1" applyAlignment="1">
      <alignment horizontal="right"/>
    </xf>
    <xf numFmtId="49" fontId="5" fillId="5" borderId="12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5" borderId="3" xfId="0" applyNumberFormat="1" applyFont="1" applyFill="1" applyBorder="1" applyAlignment="1">
      <alignment vertical="center"/>
    </xf>
    <xf numFmtId="49" fontId="5" fillId="5" borderId="5" xfId="0" applyNumberFormat="1" applyFont="1" applyFill="1" applyBorder="1" applyAlignment="1">
      <alignment vertical="center" wrapText="1"/>
    </xf>
    <xf numFmtId="3" fontId="5" fillId="5" borderId="5" xfId="0" applyNumberFormat="1" applyFont="1" applyFill="1" applyBorder="1" applyAlignment="1">
      <alignment horizontal="right"/>
    </xf>
    <xf numFmtId="0" fontId="5" fillId="5" borderId="0" xfId="0" applyFont="1" applyFill="1" applyAlignment="1">
      <alignment vertical="center"/>
    </xf>
    <xf numFmtId="49" fontId="5" fillId="5" borderId="7" xfId="0" applyNumberFormat="1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vertical="center" wrapText="1"/>
    </xf>
    <xf numFmtId="3" fontId="5" fillId="3" borderId="4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vertical="top" wrapText="1"/>
    </xf>
    <xf numFmtId="3" fontId="5" fillId="2" borderId="4" xfId="0" applyNumberFormat="1" applyFont="1" applyFill="1" applyBorder="1" applyAlignment="1">
      <alignment horizontal="right"/>
    </xf>
    <xf numFmtId="3" fontId="5" fillId="5" borderId="4" xfId="0" applyNumberFormat="1" applyFont="1" applyFill="1" applyBorder="1" applyAlignment="1">
      <alignment horizontal="right"/>
    </xf>
    <xf numFmtId="49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center" vertical="center" wrapText="1"/>
    </xf>
    <xf numFmtId="3" fontId="5" fillId="5" borderId="5" xfId="3" applyNumberFormat="1" applyFont="1" applyFill="1" applyBorder="1" applyAlignment="1">
      <alignment horizontal="right"/>
    </xf>
    <xf numFmtId="49" fontId="5" fillId="5" borderId="2" xfId="0" applyNumberFormat="1" applyFont="1" applyFill="1" applyBorder="1" applyAlignment="1">
      <alignment vertical="top" wrapText="1"/>
    </xf>
    <xf numFmtId="3" fontId="5" fillId="5" borderId="2" xfId="0" applyNumberFormat="1" applyFont="1" applyFill="1" applyBorder="1" applyAlignment="1">
      <alignment horizontal="right"/>
    </xf>
    <xf numFmtId="3" fontId="5" fillId="5" borderId="6" xfId="3" applyNumberFormat="1" applyFont="1" applyFill="1" applyBorder="1" applyAlignment="1">
      <alignment horizontal="right"/>
    </xf>
    <xf numFmtId="49" fontId="5" fillId="2" borderId="3" xfId="0" applyNumberFormat="1" applyFont="1" applyFill="1" applyBorder="1" applyAlignment="1">
      <alignment vertical="top"/>
    </xf>
    <xf numFmtId="0" fontId="7" fillId="0" borderId="5" xfId="4" applyFont="1" applyBorder="1" applyAlignment="1">
      <alignment vertical="top" wrapText="1"/>
    </xf>
    <xf numFmtId="3" fontId="5" fillId="2" borderId="5" xfId="5" applyNumberFormat="1" applyFont="1" applyFill="1" applyBorder="1" applyAlignment="1"/>
    <xf numFmtId="3" fontId="5" fillId="5" borderId="5" xfId="5" applyNumberFormat="1" applyFont="1" applyFill="1" applyBorder="1" applyAlignment="1"/>
    <xf numFmtId="3" fontId="7" fillId="5" borderId="5" xfId="4" applyNumberFormat="1" applyFont="1" applyFill="1" applyBorder="1" applyAlignment="1">
      <alignment wrapText="1"/>
    </xf>
    <xf numFmtId="0" fontId="7" fillId="5" borderId="6" xfId="4" applyFont="1" applyFill="1" applyBorder="1" applyAlignment="1">
      <alignment vertical="top" wrapText="1"/>
    </xf>
    <xf numFmtId="3" fontId="7" fillId="5" borderId="6" xfId="4" applyNumberFormat="1" applyFont="1" applyFill="1" applyBorder="1" applyAlignment="1">
      <alignment wrapText="1"/>
    </xf>
    <xf numFmtId="3" fontId="5" fillId="2" borderId="6" xfId="5" applyNumberFormat="1" applyFont="1" applyFill="1" applyBorder="1" applyAlignment="1"/>
    <xf numFmtId="3" fontId="5" fillId="5" borderId="6" xfId="5" applyNumberFormat="1" applyFont="1" applyFill="1" applyBorder="1" applyAlignment="1">
      <alignment wrapText="1"/>
    </xf>
    <xf numFmtId="0" fontId="5" fillId="5" borderId="13" xfId="3" applyFont="1" applyFill="1" applyBorder="1" applyAlignment="1">
      <alignment horizontal="left" vertical="top" wrapText="1"/>
    </xf>
    <xf numFmtId="3" fontId="5" fillId="5" borderId="6" xfId="4" applyNumberFormat="1" applyFont="1" applyFill="1" applyBorder="1" applyAlignment="1">
      <alignment wrapText="1"/>
    </xf>
    <xf numFmtId="3" fontId="5" fillId="5" borderId="6" xfId="5" applyNumberFormat="1" applyFont="1" applyFill="1" applyBorder="1" applyAlignment="1"/>
    <xf numFmtId="0" fontId="5" fillId="5" borderId="13" xfId="3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5" borderId="15" xfId="3" applyFont="1" applyFill="1" applyBorder="1" applyAlignment="1">
      <alignment horizontal="left" vertical="top" wrapText="1"/>
    </xf>
    <xf numFmtId="3" fontId="5" fillId="5" borderId="7" xfId="4" applyNumberFormat="1" applyFont="1" applyFill="1" applyBorder="1" applyAlignment="1">
      <alignment wrapText="1"/>
    </xf>
    <xf numFmtId="3" fontId="5" fillId="5" borderId="7" xfId="5" applyNumberFormat="1" applyFont="1" applyFill="1" applyBorder="1" applyAlignment="1"/>
    <xf numFmtId="3" fontId="5" fillId="5" borderId="7" xfId="5" applyNumberFormat="1" applyFont="1" applyFill="1" applyBorder="1" applyAlignment="1">
      <alignment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5" borderId="16" xfId="3" applyFont="1" applyFill="1" applyBorder="1" applyAlignment="1">
      <alignment horizontal="left" vertical="top" wrapText="1"/>
    </xf>
    <xf numFmtId="3" fontId="5" fillId="5" borderId="5" xfId="4" applyNumberFormat="1" applyFont="1" applyFill="1" applyBorder="1" applyAlignment="1">
      <alignment wrapText="1"/>
    </xf>
    <xf numFmtId="3" fontId="5" fillId="5" borderId="5" xfId="5" applyNumberFormat="1" applyFont="1" applyFill="1" applyBorder="1" applyAlignment="1">
      <alignment wrapText="1"/>
    </xf>
    <xf numFmtId="0" fontId="5" fillId="5" borderId="6" xfId="1" applyFont="1" applyFill="1" applyBorder="1" applyAlignment="1">
      <alignment horizontal="left" vertical="center" wrapText="1"/>
    </xf>
    <xf numFmtId="3" fontId="5" fillId="5" borderId="6" xfId="1" applyNumberFormat="1" applyFont="1" applyFill="1" applyBorder="1" applyAlignment="1">
      <alignment horizontal="right" wrapText="1"/>
    </xf>
    <xf numFmtId="3" fontId="5" fillId="5" borderId="11" xfId="5" applyNumberFormat="1" applyFont="1" applyFill="1" applyBorder="1" applyAlignment="1"/>
    <xf numFmtId="0" fontId="5" fillId="5" borderId="11" xfId="4" applyFont="1" applyFill="1" applyBorder="1" applyAlignment="1">
      <alignment vertical="top" wrapText="1"/>
    </xf>
    <xf numFmtId="3" fontId="5" fillId="5" borderId="11" xfId="5" applyNumberFormat="1" applyFont="1" applyFill="1" applyBorder="1" applyAlignment="1">
      <alignment vertical="center"/>
    </xf>
    <xf numFmtId="3" fontId="5" fillId="5" borderId="11" xfId="4" applyNumberFormat="1" applyFont="1" applyFill="1" applyBorder="1" applyAlignment="1">
      <alignment wrapText="1"/>
    </xf>
    <xf numFmtId="0" fontId="5" fillId="5" borderId="6" xfId="4" applyFont="1" applyFill="1" applyBorder="1" applyAlignment="1">
      <alignment vertical="top" wrapText="1"/>
    </xf>
    <xf numFmtId="3" fontId="5" fillId="5" borderId="6" xfId="4" applyNumberFormat="1" applyFont="1" applyFill="1" applyBorder="1" applyAlignment="1">
      <alignment vertical="center" wrapText="1"/>
    </xf>
    <xf numFmtId="0" fontId="5" fillId="5" borderId="14" xfId="3" applyFont="1" applyFill="1" applyBorder="1" applyAlignment="1">
      <alignment horizontal="left" vertical="top" wrapText="1"/>
    </xf>
    <xf numFmtId="3" fontId="5" fillId="5" borderId="11" xfId="4" applyNumberFormat="1" applyFont="1" applyFill="1" applyBorder="1" applyAlignment="1">
      <alignment vertical="center" wrapText="1"/>
    </xf>
    <xf numFmtId="3" fontId="5" fillId="5" borderId="11" xfId="5" applyNumberFormat="1" applyFont="1" applyFill="1" applyBorder="1" applyAlignment="1">
      <alignment wrapText="1"/>
    </xf>
    <xf numFmtId="3" fontId="5" fillId="5" borderId="7" xfId="4" applyNumberFormat="1" applyFont="1" applyFill="1" applyBorder="1" applyAlignment="1">
      <alignment vertical="center" wrapText="1"/>
    </xf>
    <xf numFmtId="0" fontId="5" fillId="5" borderId="17" xfId="3" applyFont="1" applyFill="1" applyBorder="1" applyAlignment="1">
      <alignment horizontal="left" vertical="top" wrapText="1"/>
    </xf>
    <xf numFmtId="3" fontId="5" fillId="5" borderId="2" xfId="4" applyNumberFormat="1" applyFont="1" applyFill="1" applyBorder="1" applyAlignment="1">
      <alignment vertical="center" wrapText="1"/>
    </xf>
    <xf numFmtId="3" fontId="5" fillId="5" borderId="2" xfId="5" applyNumberFormat="1" applyFont="1" applyFill="1" applyBorder="1" applyAlignment="1">
      <alignment wrapText="1"/>
    </xf>
    <xf numFmtId="0" fontId="8" fillId="5" borderId="5" xfId="3" applyFont="1" applyFill="1" applyBorder="1" applyAlignment="1">
      <alignment horizontal="left" vertical="top" wrapText="1"/>
    </xf>
    <xf numFmtId="0" fontId="8" fillId="5" borderId="6" xfId="3" applyFont="1" applyFill="1" applyBorder="1" applyAlignment="1">
      <alignment horizontal="left" vertical="top" wrapText="1"/>
    </xf>
    <xf numFmtId="0" fontId="8" fillId="5" borderId="2" xfId="3" applyFont="1" applyFill="1" applyBorder="1" applyAlignment="1">
      <alignment horizontal="left" vertical="top" wrapText="1"/>
    </xf>
    <xf numFmtId="3" fontId="5" fillId="5" borderId="2" xfId="3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vertical="center"/>
    </xf>
    <xf numFmtId="3" fontId="5" fillId="5" borderId="5" xfId="0" applyNumberFormat="1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49" fontId="5" fillId="0" borderId="7" xfId="0" applyNumberFormat="1" applyFont="1" applyFill="1" applyBorder="1" applyAlignment="1">
      <alignment vertical="top" wrapText="1"/>
    </xf>
    <xf numFmtId="49" fontId="5" fillId="5" borderId="7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/>
    </xf>
    <xf numFmtId="49" fontId="5" fillId="5" borderId="4" xfId="0" applyNumberFormat="1" applyFont="1" applyFill="1" applyBorder="1" applyAlignment="1">
      <alignment vertical="top"/>
    </xf>
    <xf numFmtId="0" fontId="5" fillId="5" borderId="1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vertical="top" wrapText="1"/>
    </xf>
    <xf numFmtId="3" fontId="5" fillId="5" borderId="6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center" vertical="top"/>
    </xf>
    <xf numFmtId="49" fontId="8" fillId="2" borderId="4" xfId="0" applyNumberFormat="1" applyFont="1" applyFill="1" applyBorder="1" applyAlignment="1">
      <alignment horizontal="center" vertical="top"/>
    </xf>
    <xf numFmtId="49" fontId="8" fillId="5" borderId="1" xfId="0" applyNumberFormat="1" applyFont="1" applyFill="1" applyBorder="1" applyAlignment="1">
      <alignment vertical="top" wrapText="1"/>
    </xf>
    <xf numFmtId="3" fontId="8" fillId="5" borderId="1" xfId="0" applyNumberFormat="1" applyFont="1" applyFill="1" applyBorder="1" applyAlignment="1">
      <alignment horizontal="right"/>
    </xf>
    <xf numFmtId="3" fontId="8" fillId="5" borderId="4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49" fontId="8" fillId="5" borderId="1" xfId="0" applyNumberFormat="1" applyFont="1" applyFill="1" applyBorder="1" applyAlignment="1">
      <alignment vertical="center" wrapText="1"/>
    </xf>
    <xf numFmtId="49" fontId="8" fillId="5" borderId="3" xfId="0" applyNumberFormat="1" applyFont="1" applyFill="1" applyBorder="1" applyAlignment="1">
      <alignment vertical="top"/>
    </xf>
    <xf numFmtId="49" fontId="8" fillId="2" borderId="4" xfId="0" applyNumberFormat="1" applyFont="1" applyFill="1" applyBorder="1" applyAlignment="1">
      <alignment vertical="center"/>
    </xf>
    <xf numFmtId="49" fontId="8" fillId="5" borderId="4" xfId="0" applyNumberFormat="1" applyFont="1" applyFill="1" applyBorder="1" applyAlignment="1">
      <alignment vertical="top"/>
    </xf>
    <xf numFmtId="49" fontId="8" fillId="5" borderId="4" xfId="0" applyNumberFormat="1" applyFont="1" applyFill="1" applyBorder="1" applyAlignment="1">
      <alignment vertical="center" wrapText="1"/>
    </xf>
    <xf numFmtId="3" fontId="8" fillId="5" borderId="4" xfId="0" applyNumberFormat="1" applyFont="1" applyFill="1" applyBorder="1" applyAlignment="1">
      <alignment horizontal="right"/>
    </xf>
    <xf numFmtId="0" fontId="8" fillId="5" borderId="4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top"/>
    </xf>
    <xf numFmtId="0" fontId="5" fillId="6" borderId="0" xfId="0" applyFont="1" applyFill="1"/>
    <xf numFmtId="49" fontId="5" fillId="5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vertical="center"/>
    </xf>
    <xf numFmtId="49" fontId="8" fillId="5" borderId="4" xfId="0" applyNumberFormat="1" applyFont="1" applyFill="1" applyBorder="1" applyAlignment="1">
      <alignment horizontal="center" vertical="top"/>
    </xf>
    <xf numFmtId="0" fontId="8" fillId="5" borderId="0" xfId="0" applyFont="1" applyFill="1"/>
    <xf numFmtId="49" fontId="8" fillId="2" borderId="2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49" fontId="8" fillId="5" borderId="4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top"/>
    </xf>
    <xf numFmtId="49" fontId="5" fillId="5" borderId="5" xfId="0" applyNumberFormat="1" applyFont="1" applyFill="1" applyBorder="1" applyAlignment="1">
      <alignment horizontal="left" vertical="center" wrapText="1"/>
    </xf>
    <xf numFmtId="3" fontId="5" fillId="2" borderId="5" xfId="0" applyNumberFormat="1" applyFont="1" applyFill="1" applyBorder="1" applyAlignment="1">
      <alignment horizontal="right"/>
    </xf>
    <xf numFmtId="49" fontId="5" fillId="5" borderId="7" xfId="0" applyNumberFormat="1" applyFont="1" applyFill="1" applyBorder="1" applyAlignment="1">
      <alignment horizontal="left" vertical="top" wrapText="1"/>
    </xf>
    <xf numFmtId="3" fontId="5" fillId="2" borderId="7" xfId="0" applyNumberFormat="1" applyFont="1" applyFill="1" applyBorder="1" applyAlignment="1">
      <alignment horizontal="right"/>
    </xf>
    <xf numFmtId="0" fontId="5" fillId="5" borderId="4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 vertical="top"/>
    </xf>
    <xf numFmtId="3" fontId="5" fillId="2" borderId="0" xfId="0" applyNumberFormat="1" applyFont="1" applyFill="1" applyAlignment="1">
      <alignment horizontal="center"/>
    </xf>
    <xf numFmtId="3" fontId="5" fillId="2" borderId="0" xfId="0" applyNumberFormat="1" applyFont="1" applyFill="1"/>
    <xf numFmtId="0" fontId="5" fillId="2" borderId="0" xfId="0" applyFont="1" applyFill="1" applyBorder="1" applyAlignment="1">
      <alignment horizontal="right" vertical="top"/>
    </xf>
    <xf numFmtId="3" fontId="5" fillId="2" borderId="0" xfId="0" applyNumberFormat="1" applyFont="1" applyFill="1" applyBorder="1"/>
  </cellXfs>
  <cellStyles count="6">
    <cellStyle name="Normalny" xfId="0" builtinId="0"/>
    <cellStyle name="Normalny 2 2" xfId="3"/>
    <cellStyle name="Normalny 3" xfId="1"/>
    <cellStyle name="Normalny 4 3" xfId="4"/>
    <cellStyle name="Normalny 7" xfId="2"/>
    <cellStyle name="Normalny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0"/>
  <sheetViews>
    <sheetView tabSelected="1" view="pageBreakPreview" zoomScaleNormal="100" zoomScaleSheetLayoutView="100" workbookViewId="0">
      <selection activeCell="C5" sqref="C5"/>
    </sheetView>
  </sheetViews>
  <sheetFormatPr defaultRowHeight="12.75"/>
  <cols>
    <col min="1" max="1" width="4.7109375" style="1" customWidth="1"/>
    <col min="2" max="2" width="7" style="1" customWidth="1"/>
    <col min="3" max="3" width="57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23.42578125" style="5" customWidth="1"/>
    <col min="11" max="16384" width="9.140625" style="1"/>
  </cols>
  <sheetData>
    <row r="1" spans="1:10">
      <c r="I1" s="1" t="s">
        <v>212</v>
      </c>
      <c r="J1" s="1"/>
    </row>
    <row r="2" spans="1:10">
      <c r="I2" s="3" t="s">
        <v>222</v>
      </c>
      <c r="J2" s="1"/>
    </row>
    <row r="3" spans="1:10">
      <c r="I3" s="3" t="s">
        <v>221</v>
      </c>
      <c r="J3" s="1"/>
    </row>
    <row r="4" spans="1:10">
      <c r="I4" s="3" t="s">
        <v>220</v>
      </c>
      <c r="J4" s="1"/>
    </row>
    <row r="5" spans="1:10">
      <c r="I5" s="3" t="s">
        <v>223</v>
      </c>
      <c r="J5" s="1"/>
    </row>
    <row r="6" spans="1:10">
      <c r="J6" s="1"/>
    </row>
    <row r="7" spans="1:10">
      <c r="J7" s="1"/>
    </row>
    <row r="8" spans="1:10">
      <c r="I8" s="4"/>
    </row>
    <row r="9" spans="1:10">
      <c r="A9" s="6" t="s">
        <v>129</v>
      </c>
      <c r="B9" s="6"/>
      <c r="C9" s="6"/>
      <c r="D9" s="6"/>
      <c r="E9" s="6"/>
      <c r="F9" s="6"/>
      <c r="G9" s="6"/>
      <c r="H9" s="6"/>
      <c r="I9" s="6"/>
      <c r="J9" s="6"/>
    </row>
    <row r="11" spans="1:10">
      <c r="I11" s="7" t="s">
        <v>65</v>
      </c>
      <c r="J11" s="8"/>
    </row>
    <row r="12" spans="1:10" s="11" customFormat="1" ht="18.75" customHeight="1">
      <c r="A12" s="9" t="s">
        <v>66</v>
      </c>
      <c r="B12" s="9" t="s">
        <v>0</v>
      </c>
      <c r="C12" s="9" t="s">
        <v>130</v>
      </c>
      <c r="D12" s="9" t="s">
        <v>131</v>
      </c>
      <c r="E12" s="10" t="s">
        <v>1</v>
      </c>
      <c r="F12" s="10"/>
      <c r="G12" s="10"/>
      <c r="H12" s="10"/>
      <c r="I12" s="10"/>
      <c r="J12" s="10" t="s">
        <v>4</v>
      </c>
    </row>
    <row r="13" spans="1:10" s="11" customFormat="1" ht="18.75" customHeight="1">
      <c r="A13" s="12"/>
      <c r="B13" s="12"/>
      <c r="C13" s="12"/>
      <c r="D13" s="12"/>
      <c r="E13" s="12" t="s">
        <v>132</v>
      </c>
      <c r="F13" s="10" t="s">
        <v>2</v>
      </c>
      <c r="G13" s="10"/>
      <c r="H13" s="10"/>
      <c r="I13" s="10"/>
      <c r="J13" s="10"/>
    </row>
    <row r="14" spans="1:10" s="11" customFormat="1" ht="60" customHeight="1">
      <c r="A14" s="13"/>
      <c r="B14" s="13"/>
      <c r="C14" s="13"/>
      <c r="D14" s="13"/>
      <c r="E14" s="13"/>
      <c r="F14" s="14" t="s">
        <v>8</v>
      </c>
      <c r="G14" s="14" t="s">
        <v>11</v>
      </c>
      <c r="H14" s="14" t="s">
        <v>3</v>
      </c>
      <c r="I14" s="14" t="s">
        <v>7</v>
      </c>
      <c r="J14" s="10"/>
    </row>
    <row r="15" spans="1:10" s="11" customFormat="1" ht="6.75" customHeight="1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  <c r="H15" s="15">
        <v>8</v>
      </c>
      <c r="I15" s="15">
        <v>9</v>
      </c>
      <c r="J15" s="15">
        <v>10</v>
      </c>
    </row>
    <row r="16" spans="1:10" s="20" customFormat="1" ht="14.25" customHeight="1">
      <c r="A16" s="16" t="s">
        <v>5</v>
      </c>
      <c r="B16" s="16"/>
      <c r="C16" s="17" t="s">
        <v>9</v>
      </c>
      <c r="D16" s="18">
        <f>SUM(D17+D27+D35+D33+D37)</f>
        <v>84493584</v>
      </c>
      <c r="E16" s="18">
        <f t="shared" ref="E16:I16" si="0">SUM(E17+E27+E35+E33+E37)</f>
        <v>1680600</v>
      </c>
      <c r="F16" s="18">
        <f t="shared" si="0"/>
        <v>480600</v>
      </c>
      <c r="G16" s="18">
        <f t="shared" si="0"/>
        <v>1200000</v>
      </c>
      <c r="H16" s="18">
        <f t="shared" si="0"/>
        <v>0</v>
      </c>
      <c r="I16" s="18">
        <f t="shared" si="0"/>
        <v>0</v>
      </c>
      <c r="J16" s="19"/>
    </row>
    <row r="17" spans="1:10" s="26" customFormat="1" ht="15.75" customHeight="1">
      <c r="A17" s="21"/>
      <c r="B17" s="22" t="s">
        <v>10</v>
      </c>
      <c r="C17" s="23" t="s">
        <v>47</v>
      </c>
      <c r="D17" s="24">
        <f t="shared" ref="D17:I17" si="1">SUM(D18:D26)</f>
        <v>0</v>
      </c>
      <c r="E17" s="24">
        <f t="shared" si="1"/>
        <v>460600</v>
      </c>
      <c r="F17" s="24">
        <f t="shared" si="1"/>
        <v>460600</v>
      </c>
      <c r="G17" s="24">
        <f t="shared" si="1"/>
        <v>0</v>
      </c>
      <c r="H17" s="24">
        <f t="shared" si="1"/>
        <v>0</v>
      </c>
      <c r="I17" s="24">
        <f t="shared" si="1"/>
        <v>0</v>
      </c>
      <c r="J17" s="25"/>
    </row>
    <row r="18" spans="1:10" s="33" customFormat="1" ht="27" customHeight="1">
      <c r="A18" s="27"/>
      <c r="B18" s="28"/>
      <c r="C18" s="29" t="s">
        <v>133</v>
      </c>
      <c r="D18" s="30"/>
      <c r="E18" s="30">
        <f t="shared" ref="E18:E26" si="2">SUM(F18:I18)</f>
        <v>65000</v>
      </c>
      <c r="F18" s="31">
        <v>65000</v>
      </c>
      <c r="G18" s="30"/>
      <c r="H18" s="30"/>
      <c r="I18" s="30"/>
      <c r="J18" s="32" t="s">
        <v>99</v>
      </c>
    </row>
    <row r="19" spans="1:10" s="33" customFormat="1" ht="27.75" customHeight="1">
      <c r="A19" s="27"/>
      <c r="B19" s="28"/>
      <c r="C19" s="29" t="s">
        <v>134</v>
      </c>
      <c r="D19" s="30"/>
      <c r="E19" s="30">
        <f t="shared" si="2"/>
        <v>50000</v>
      </c>
      <c r="F19" s="31">
        <v>50000</v>
      </c>
      <c r="G19" s="30"/>
      <c r="H19" s="30"/>
      <c r="I19" s="30"/>
      <c r="J19" s="34"/>
    </row>
    <row r="20" spans="1:10" s="33" customFormat="1" ht="27" customHeight="1">
      <c r="A20" s="27"/>
      <c r="B20" s="28"/>
      <c r="C20" s="29" t="s">
        <v>135</v>
      </c>
      <c r="D20" s="30"/>
      <c r="E20" s="30">
        <f t="shared" si="2"/>
        <v>15000</v>
      </c>
      <c r="F20" s="31">
        <v>15000</v>
      </c>
      <c r="G20" s="30"/>
      <c r="H20" s="30"/>
      <c r="I20" s="30"/>
      <c r="J20" s="34"/>
    </row>
    <row r="21" spans="1:10" s="33" customFormat="1" ht="54" customHeight="1">
      <c r="A21" s="27"/>
      <c r="B21" s="28"/>
      <c r="C21" s="35" t="s">
        <v>136</v>
      </c>
      <c r="D21" s="36"/>
      <c r="E21" s="36">
        <f t="shared" si="2"/>
        <v>61000</v>
      </c>
      <c r="F21" s="37">
        <v>61000</v>
      </c>
      <c r="G21" s="36"/>
      <c r="H21" s="36"/>
      <c r="I21" s="36"/>
      <c r="J21" s="38"/>
    </row>
    <row r="22" spans="1:10" s="33" customFormat="1" ht="18.75" customHeight="1">
      <c r="A22" s="27"/>
      <c r="B22" s="28"/>
      <c r="C22" s="39" t="s">
        <v>137</v>
      </c>
      <c r="D22" s="40"/>
      <c r="E22" s="40">
        <f t="shared" si="2"/>
        <v>71000</v>
      </c>
      <c r="F22" s="40">
        <f>80000-9000</f>
        <v>71000</v>
      </c>
      <c r="G22" s="40"/>
      <c r="H22" s="40"/>
      <c r="I22" s="40"/>
      <c r="J22" s="32" t="s">
        <v>100</v>
      </c>
    </row>
    <row r="23" spans="1:10" s="33" customFormat="1" ht="18" customHeight="1">
      <c r="A23" s="27"/>
      <c r="B23" s="28"/>
      <c r="C23" s="39" t="s">
        <v>138</v>
      </c>
      <c r="D23" s="40"/>
      <c r="E23" s="30">
        <f t="shared" si="2"/>
        <v>39000</v>
      </c>
      <c r="F23" s="40">
        <f>30000+9000</f>
        <v>39000</v>
      </c>
      <c r="G23" s="40"/>
      <c r="H23" s="40"/>
      <c r="I23" s="40"/>
      <c r="J23" s="34"/>
    </row>
    <row r="24" spans="1:10" s="33" customFormat="1" ht="27" customHeight="1">
      <c r="A24" s="27"/>
      <c r="B24" s="28"/>
      <c r="C24" s="41" t="s">
        <v>139</v>
      </c>
      <c r="D24" s="42"/>
      <c r="E24" s="30">
        <f t="shared" si="2"/>
        <v>27100</v>
      </c>
      <c r="F24" s="43">
        <v>27100</v>
      </c>
      <c r="G24" s="42"/>
      <c r="H24" s="42"/>
      <c r="I24" s="42"/>
      <c r="J24" s="34"/>
    </row>
    <row r="25" spans="1:10" s="33" customFormat="1" ht="27" customHeight="1">
      <c r="A25" s="27"/>
      <c r="B25" s="28"/>
      <c r="C25" s="41" t="s">
        <v>140</v>
      </c>
      <c r="D25" s="42"/>
      <c r="E25" s="30">
        <f t="shared" si="2"/>
        <v>42500</v>
      </c>
      <c r="F25" s="43">
        <v>42500</v>
      </c>
      <c r="G25" s="42"/>
      <c r="H25" s="42"/>
      <c r="I25" s="42"/>
      <c r="J25" s="34"/>
    </row>
    <row r="26" spans="1:10" s="33" customFormat="1" ht="40.5" customHeight="1">
      <c r="A26" s="27"/>
      <c r="B26" s="28"/>
      <c r="C26" s="44" t="s">
        <v>141</v>
      </c>
      <c r="D26" s="42"/>
      <c r="E26" s="30">
        <f t="shared" si="2"/>
        <v>90000</v>
      </c>
      <c r="F26" s="43">
        <v>90000</v>
      </c>
      <c r="G26" s="42"/>
      <c r="H26" s="42"/>
      <c r="I26" s="42"/>
      <c r="J26" s="34"/>
    </row>
    <row r="27" spans="1:10" s="50" customFormat="1" ht="15.75" customHeight="1">
      <c r="A27" s="45"/>
      <c r="B27" s="46" t="s">
        <v>6</v>
      </c>
      <c r="C27" s="47" t="s">
        <v>48</v>
      </c>
      <c r="D27" s="48">
        <f t="shared" ref="D27:I27" si="3">SUM(D28:D32)</f>
        <v>84422084</v>
      </c>
      <c r="E27" s="48">
        <f t="shared" si="3"/>
        <v>200000</v>
      </c>
      <c r="F27" s="48">
        <f t="shared" si="3"/>
        <v>0</v>
      </c>
      <c r="G27" s="48">
        <f t="shared" si="3"/>
        <v>200000</v>
      </c>
      <c r="H27" s="48">
        <f t="shared" si="3"/>
        <v>0</v>
      </c>
      <c r="I27" s="48">
        <f t="shared" si="3"/>
        <v>0</v>
      </c>
      <c r="J27" s="49"/>
    </row>
    <row r="28" spans="1:10" s="54" customFormat="1" ht="18.75" customHeight="1">
      <c r="A28" s="27"/>
      <c r="B28" s="51"/>
      <c r="C28" s="52" t="s">
        <v>12</v>
      </c>
      <c r="D28" s="53">
        <v>0</v>
      </c>
      <c r="E28" s="53">
        <f t="shared" ref="E28:E32" si="4">SUM(F28:I28)</f>
        <v>100000</v>
      </c>
      <c r="F28" s="53">
        <v>0</v>
      </c>
      <c r="G28" s="53">
        <v>100000</v>
      </c>
      <c r="H28" s="53"/>
      <c r="I28" s="53">
        <v>0</v>
      </c>
      <c r="J28" s="32" t="s">
        <v>99</v>
      </c>
    </row>
    <row r="29" spans="1:10" s="54" customFormat="1" ht="20.25" customHeight="1">
      <c r="A29" s="27"/>
      <c r="B29" s="27"/>
      <c r="C29" s="55" t="s">
        <v>13</v>
      </c>
      <c r="D29" s="36">
        <v>31073000</v>
      </c>
      <c r="E29" s="36">
        <f t="shared" si="4"/>
        <v>0</v>
      </c>
      <c r="F29" s="36">
        <v>0</v>
      </c>
      <c r="G29" s="36">
        <v>0</v>
      </c>
      <c r="H29" s="36">
        <v>0</v>
      </c>
      <c r="I29" s="36">
        <v>0</v>
      </c>
      <c r="J29" s="56"/>
    </row>
    <row r="30" spans="1:10" s="33" customFormat="1" ht="27" customHeight="1">
      <c r="A30" s="27"/>
      <c r="B30" s="28"/>
      <c r="C30" s="29" t="s">
        <v>68</v>
      </c>
      <c r="D30" s="40">
        <v>26258084</v>
      </c>
      <c r="E30" s="40">
        <f t="shared" si="4"/>
        <v>0</v>
      </c>
      <c r="F30" s="40">
        <v>0</v>
      </c>
      <c r="G30" s="40">
        <v>0</v>
      </c>
      <c r="H30" s="40">
        <v>0</v>
      </c>
      <c r="I30" s="40">
        <v>0</v>
      </c>
      <c r="J30" s="57" t="s">
        <v>100</v>
      </c>
    </row>
    <row r="31" spans="1:10" s="54" customFormat="1" ht="18.75" customHeight="1">
      <c r="A31" s="27"/>
      <c r="B31" s="27"/>
      <c r="C31" s="58" t="s">
        <v>12</v>
      </c>
      <c r="D31" s="30">
        <v>0</v>
      </c>
      <c r="E31" s="30">
        <f t="shared" si="4"/>
        <v>100000</v>
      </c>
      <c r="F31" s="30">
        <v>0</v>
      </c>
      <c r="G31" s="30">
        <v>100000</v>
      </c>
      <c r="H31" s="30">
        <v>0</v>
      </c>
      <c r="I31" s="30">
        <v>0</v>
      </c>
      <c r="J31" s="57"/>
    </row>
    <row r="32" spans="1:10" s="54" customFormat="1" ht="18.75" customHeight="1">
      <c r="A32" s="59"/>
      <c r="B32" s="60"/>
      <c r="C32" s="55" t="s">
        <v>13</v>
      </c>
      <c r="D32" s="36">
        <v>27091000</v>
      </c>
      <c r="E32" s="36">
        <f t="shared" si="4"/>
        <v>0</v>
      </c>
      <c r="F32" s="36">
        <v>0</v>
      </c>
      <c r="G32" s="36">
        <v>0</v>
      </c>
      <c r="H32" s="36">
        <v>0</v>
      </c>
      <c r="I32" s="36">
        <v>0</v>
      </c>
      <c r="J32" s="56"/>
    </row>
    <row r="33" spans="1:10" s="50" customFormat="1" ht="15.75" customHeight="1">
      <c r="A33" s="61"/>
      <c r="B33" s="62" t="s">
        <v>16</v>
      </c>
      <c r="C33" s="63" t="s">
        <v>67</v>
      </c>
      <c r="D33" s="64">
        <f t="shared" ref="D33:I33" si="5">SUM(D34:D34)</f>
        <v>71500</v>
      </c>
      <c r="E33" s="64">
        <f t="shared" si="5"/>
        <v>0</v>
      </c>
      <c r="F33" s="64">
        <f t="shared" si="5"/>
        <v>0</v>
      </c>
      <c r="G33" s="64">
        <f t="shared" si="5"/>
        <v>0</v>
      </c>
      <c r="H33" s="64">
        <f t="shared" si="5"/>
        <v>0</v>
      </c>
      <c r="I33" s="64">
        <f t="shared" si="5"/>
        <v>0</v>
      </c>
      <c r="J33" s="65"/>
    </row>
    <row r="34" spans="1:10" ht="27" customHeight="1">
      <c r="A34" s="66"/>
      <c r="B34" s="67"/>
      <c r="C34" s="68" t="s">
        <v>151</v>
      </c>
      <c r="D34" s="69">
        <v>71500</v>
      </c>
      <c r="E34" s="70">
        <f>SUM(F34:I34)</f>
        <v>0</v>
      </c>
      <c r="F34" s="70">
        <v>0</v>
      </c>
      <c r="G34" s="70">
        <v>0</v>
      </c>
      <c r="H34" s="70">
        <v>0</v>
      </c>
      <c r="I34" s="70">
        <v>0</v>
      </c>
      <c r="J34" s="71" t="s">
        <v>15</v>
      </c>
    </row>
    <row r="35" spans="1:10" s="50" customFormat="1" ht="15.75" customHeight="1">
      <c r="A35" s="61"/>
      <c r="B35" s="62" t="s">
        <v>63</v>
      </c>
      <c r="C35" s="63" t="s">
        <v>64</v>
      </c>
      <c r="D35" s="64">
        <f t="shared" ref="D35:I37" si="6">D36</f>
        <v>0</v>
      </c>
      <c r="E35" s="64">
        <f t="shared" si="6"/>
        <v>20000</v>
      </c>
      <c r="F35" s="64">
        <f t="shared" si="6"/>
        <v>20000</v>
      </c>
      <c r="G35" s="64">
        <f t="shared" si="6"/>
        <v>0</v>
      </c>
      <c r="H35" s="64">
        <f t="shared" si="6"/>
        <v>0</v>
      </c>
      <c r="I35" s="64">
        <f t="shared" si="6"/>
        <v>0</v>
      </c>
      <c r="J35" s="65"/>
    </row>
    <row r="36" spans="1:10" ht="14.25" customHeight="1">
      <c r="A36" s="66"/>
      <c r="B36" s="72"/>
      <c r="C36" s="73" t="s">
        <v>34</v>
      </c>
      <c r="D36" s="74">
        <v>0</v>
      </c>
      <c r="E36" s="75">
        <f>SUM(F36:I36)</f>
        <v>20000</v>
      </c>
      <c r="F36" s="75">
        <v>20000</v>
      </c>
      <c r="G36" s="74">
        <v>0</v>
      </c>
      <c r="H36" s="74">
        <v>0</v>
      </c>
      <c r="I36" s="74">
        <v>0</v>
      </c>
      <c r="J36" s="15" t="s">
        <v>15</v>
      </c>
    </row>
    <row r="37" spans="1:10" ht="14.25" customHeight="1">
      <c r="A37" s="66"/>
      <c r="B37" s="62" t="s">
        <v>189</v>
      </c>
      <c r="C37" s="63" t="s">
        <v>190</v>
      </c>
      <c r="D37" s="64">
        <f t="shared" si="6"/>
        <v>0</v>
      </c>
      <c r="E37" s="64">
        <f t="shared" si="6"/>
        <v>1000000</v>
      </c>
      <c r="F37" s="64">
        <f t="shared" si="6"/>
        <v>0</v>
      </c>
      <c r="G37" s="64">
        <f t="shared" si="6"/>
        <v>1000000</v>
      </c>
      <c r="H37" s="64">
        <f t="shared" si="6"/>
        <v>0</v>
      </c>
      <c r="I37" s="64">
        <f t="shared" si="6"/>
        <v>0</v>
      </c>
      <c r="J37" s="65"/>
    </row>
    <row r="38" spans="1:10" ht="39" customHeight="1">
      <c r="A38" s="66"/>
      <c r="B38" s="72"/>
      <c r="C38" s="73" t="s">
        <v>191</v>
      </c>
      <c r="D38" s="74">
        <v>0</v>
      </c>
      <c r="E38" s="75">
        <f>SUM(F38:I38)</f>
        <v>1000000</v>
      </c>
      <c r="F38" s="75">
        <v>0</v>
      </c>
      <c r="G38" s="74">
        <v>1000000</v>
      </c>
      <c r="H38" s="74">
        <v>0</v>
      </c>
      <c r="I38" s="74">
        <v>0</v>
      </c>
      <c r="J38" s="15" t="s">
        <v>99</v>
      </c>
    </row>
    <row r="39" spans="1:10" s="20" customFormat="1" ht="14.25" customHeight="1">
      <c r="A39" s="16" t="s">
        <v>17</v>
      </c>
      <c r="B39" s="16"/>
      <c r="C39" s="17" t="s">
        <v>49</v>
      </c>
      <c r="D39" s="18">
        <f t="shared" ref="D39:I39" si="7">D40</f>
        <v>32000</v>
      </c>
      <c r="E39" s="18">
        <f t="shared" si="7"/>
        <v>0</v>
      </c>
      <c r="F39" s="18">
        <f t="shared" si="7"/>
        <v>0</v>
      </c>
      <c r="G39" s="18">
        <f t="shared" si="7"/>
        <v>0</v>
      </c>
      <c r="H39" s="18">
        <f t="shared" si="7"/>
        <v>0</v>
      </c>
      <c r="I39" s="18">
        <f t="shared" si="7"/>
        <v>0</v>
      </c>
      <c r="J39" s="19"/>
    </row>
    <row r="40" spans="1:10" s="26" customFormat="1" ht="27.75" customHeight="1">
      <c r="A40" s="21"/>
      <c r="B40" s="76" t="s">
        <v>18</v>
      </c>
      <c r="C40" s="77" t="s">
        <v>107</v>
      </c>
      <c r="D40" s="48">
        <f t="shared" ref="D40:I40" si="8">SUM(D41:D41)</f>
        <v>32000</v>
      </c>
      <c r="E40" s="48">
        <f t="shared" si="8"/>
        <v>0</v>
      </c>
      <c r="F40" s="48">
        <f t="shared" si="8"/>
        <v>0</v>
      </c>
      <c r="G40" s="48">
        <f t="shared" si="8"/>
        <v>0</v>
      </c>
      <c r="H40" s="48">
        <f t="shared" si="8"/>
        <v>0</v>
      </c>
      <c r="I40" s="48">
        <f t="shared" si="8"/>
        <v>0</v>
      </c>
      <c r="J40" s="25"/>
    </row>
    <row r="41" spans="1:10" ht="28.5" customHeight="1">
      <c r="A41" s="45"/>
      <c r="B41" s="78"/>
      <c r="C41" s="68" t="s">
        <v>152</v>
      </c>
      <c r="D41" s="69">
        <v>32000</v>
      </c>
      <c r="E41" s="70">
        <f>SUM(F41:I41)</f>
        <v>0</v>
      </c>
      <c r="F41" s="70">
        <v>0</v>
      </c>
      <c r="G41" s="70">
        <v>0</v>
      </c>
      <c r="H41" s="70">
        <v>0</v>
      </c>
      <c r="I41" s="70">
        <v>0</v>
      </c>
      <c r="J41" s="79" t="s">
        <v>15</v>
      </c>
    </row>
    <row r="42" spans="1:10" s="20" customFormat="1" ht="14.25" customHeight="1">
      <c r="A42" s="16" t="s">
        <v>19</v>
      </c>
      <c r="B42" s="16"/>
      <c r="C42" s="17" t="s">
        <v>50</v>
      </c>
      <c r="D42" s="18">
        <f t="shared" ref="D42:I42" si="9">D43+D46+D120+D122+D116</f>
        <v>627432356</v>
      </c>
      <c r="E42" s="18">
        <f t="shared" si="9"/>
        <v>33878051</v>
      </c>
      <c r="F42" s="18">
        <f t="shared" si="9"/>
        <v>31190551</v>
      </c>
      <c r="G42" s="18">
        <f t="shared" si="9"/>
        <v>507500</v>
      </c>
      <c r="H42" s="18">
        <f t="shared" si="9"/>
        <v>2180000</v>
      </c>
      <c r="I42" s="18">
        <f t="shared" si="9"/>
        <v>0</v>
      </c>
      <c r="J42" s="19"/>
    </row>
    <row r="43" spans="1:10" s="26" customFormat="1" ht="15.75" customHeight="1">
      <c r="A43" s="21"/>
      <c r="B43" s="76" t="s">
        <v>20</v>
      </c>
      <c r="C43" s="77" t="s">
        <v>51</v>
      </c>
      <c r="D43" s="48">
        <f t="shared" ref="D43:I43" si="10">SUM(D44:D45)</f>
        <v>8489079</v>
      </c>
      <c r="E43" s="48">
        <f t="shared" si="10"/>
        <v>0</v>
      </c>
      <c r="F43" s="48">
        <f t="shared" si="10"/>
        <v>0</v>
      </c>
      <c r="G43" s="48">
        <f t="shared" si="10"/>
        <v>0</v>
      </c>
      <c r="H43" s="48">
        <f t="shared" si="10"/>
        <v>0</v>
      </c>
      <c r="I43" s="48">
        <f t="shared" si="10"/>
        <v>0</v>
      </c>
      <c r="J43" s="25"/>
    </row>
    <row r="44" spans="1:10" ht="27.75" customHeight="1">
      <c r="A44" s="45"/>
      <c r="B44" s="78"/>
      <c r="C44" s="29" t="s">
        <v>108</v>
      </c>
      <c r="D44" s="40">
        <v>4616371</v>
      </c>
      <c r="E44" s="80">
        <f t="shared" ref="E44" si="11">SUM(F44:I44)</f>
        <v>0</v>
      </c>
      <c r="F44" s="40">
        <v>0</v>
      </c>
      <c r="G44" s="40">
        <v>0</v>
      </c>
      <c r="H44" s="40">
        <v>0</v>
      </c>
      <c r="I44" s="40">
        <v>0</v>
      </c>
      <c r="J44" s="57" t="s">
        <v>15</v>
      </c>
    </row>
    <row r="45" spans="1:10" ht="27" customHeight="1">
      <c r="A45" s="45"/>
      <c r="B45" s="78"/>
      <c r="C45" s="81" t="s">
        <v>114</v>
      </c>
      <c r="D45" s="82">
        <f>3428296+444412</f>
        <v>3872708</v>
      </c>
      <c r="E45" s="83">
        <f t="shared" ref="E45:E71" si="12">SUM(F45:I45)</f>
        <v>0</v>
      </c>
      <c r="F45" s="82">
        <v>0</v>
      </c>
      <c r="G45" s="82">
        <v>0</v>
      </c>
      <c r="H45" s="82">
        <v>0</v>
      </c>
      <c r="I45" s="82">
        <v>0</v>
      </c>
      <c r="J45" s="57"/>
    </row>
    <row r="46" spans="1:10" s="26" customFormat="1" ht="15.75" customHeight="1">
      <c r="A46" s="45"/>
      <c r="B46" s="76" t="s">
        <v>21</v>
      </c>
      <c r="C46" s="77" t="s">
        <v>52</v>
      </c>
      <c r="D46" s="48">
        <f>SUM(D47:D115)</f>
        <v>502726263</v>
      </c>
      <c r="E46" s="48">
        <f t="shared" ref="E46:I46" si="13">SUM(E47:E115)</f>
        <v>33818051</v>
      </c>
      <c r="F46" s="48">
        <f t="shared" si="13"/>
        <v>31130551</v>
      </c>
      <c r="G46" s="48">
        <f t="shared" si="13"/>
        <v>507500</v>
      </c>
      <c r="H46" s="48">
        <f t="shared" si="13"/>
        <v>2180000</v>
      </c>
      <c r="I46" s="48">
        <f t="shared" si="13"/>
        <v>0</v>
      </c>
      <c r="J46" s="25"/>
    </row>
    <row r="47" spans="1:10" ht="28.5" customHeight="1">
      <c r="A47" s="45"/>
      <c r="B47" s="84"/>
      <c r="C47" s="85" t="s">
        <v>144</v>
      </c>
      <c r="D47" s="86">
        <v>0</v>
      </c>
      <c r="E47" s="87">
        <f t="shared" ref="E47:E67" si="14">SUM(F47:I47)</f>
        <v>600000</v>
      </c>
      <c r="F47" s="88">
        <v>600000</v>
      </c>
      <c r="G47" s="53">
        <v>0</v>
      </c>
      <c r="H47" s="53">
        <v>0</v>
      </c>
      <c r="I47" s="53">
        <v>0</v>
      </c>
      <c r="J47" s="32" t="s">
        <v>22</v>
      </c>
    </row>
    <row r="48" spans="1:10" s="50" customFormat="1" ht="23.25" customHeight="1">
      <c r="A48" s="45"/>
      <c r="B48" s="61"/>
      <c r="C48" s="89" t="s">
        <v>197</v>
      </c>
      <c r="D48" s="90">
        <f>3200000-700000</f>
        <v>2500000</v>
      </c>
      <c r="E48" s="91">
        <f t="shared" si="14"/>
        <v>0</v>
      </c>
      <c r="F48" s="92">
        <v>0</v>
      </c>
      <c r="G48" s="30">
        <v>0</v>
      </c>
      <c r="H48" s="30">
        <v>0</v>
      </c>
      <c r="I48" s="40">
        <v>0</v>
      </c>
      <c r="J48" s="34"/>
    </row>
    <row r="49" spans="1:10" s="50" customFormat="1" ht="28.5" customHeight="1">
      <c r="A49" s="45"/>
      <c r="B49" s="61"/>
      <c r="C49" s="93" t="s">
        <v>145</v>
      </c>
      <c r="D49" s="94">
        <f>20171997+12129940+1350000+1300000</f>
        <v>34951937</v>
      </c>
      <c r="E49" s="95">
        <f t="shared" si="14"/>
        <v>0</v>
      </c>
      <c r="F49" s="92">
        <v>0</v>
      </c>
      <c r="G49" s="30">
        <v>0</v>
      </c>
      <c r="H49" s="30">
        <v>0</v>
      </c>
      <c r="I49" s="30">
        <v>0</v>
      </c>
      <c r="J49" s="34"/>
    </row>
    <row r="50" spans="1:10" s="50" customFormat="1" ht="28.5" customHeight="1">
      <c r="A50" s="45"/>
      <c r="B50" s="61"/>
      <c r="C50" s="93" t="s">
        <v>23</v>
      </c>
      <c r="D50" s="94">
        <f>59513458-5654227-850000-1300000+70173</f>
        <v>51779404</v>
      </c>
      <c r="E50" s="95">
        <f t="shared" si="14"/>
        <v>0</v>
      </c>
      <c r="F50" s="92">
        <v>0</v>
      </c>
      <c r="G50" s="30">
        <v>0</v>
      </c>
      <c r="H50" s="30">
        <v>0</v>
      </c>
      <c r="I50" s="30">
        <v>0</v>
      </c>
      <c r="J50" s="34"/>
    </row>
    <row r="51" spans="1:10" s="50" customFormat="1" ht="18" customHeight="1">
      <c r="A51" s="45"/>
      <c r="B51" s="61"/>
      <c r="C51" s="96" t="s">
        <v>112</v>
      </c>
      <c r="D51" s="94">
        <f>48035580-705330+4800000-1000000</f>
        <v>51130250</v>
      </c>
      <c r="E51" s="95">
        <f t="shared" si="14"/>
        <v>0</v>
      </c>
      <c r="F51" s="92">
        <v>0</v>
      </c>
      <c r="G51" s="30">
        <v>0</v>
      </c>
      <c r="H51" s="30">
        <v>0</v>
      </c>
      <c r="I51" s="30">
        <v>0</v>
      </c>
      <c r="J51" s="34"/>
    </row>
    <row r="52" spans="1:10" s="50" customFormat="1" ht="28.5" customHeight="1">
      <c r="A52" s="45"/>
      <c r="B52" s="61"/>
      <c r="C52" s="93" t="s">
        <v>113</v>
      </c>
      <c r="D52" s="94">
        <f>9321856+196839-981000</f>
        <v>8537695</v>
      </c>
      <c r="E52" s="95">
        <f t="shared" si="14"/>
        <v>0</v>
      </c>
      <c r="F52" s="92">
        <v>0</v>
      </c>
      <c r="G52" s="30">
        <v>0</v>
      </c>
      <c r="H52" s="30">
        <v>0</v>
      </c>
      <c r="I52" s="30">
        <v>0</v>
      </c>
      <c r="J52" s="34"/>
    </row>
    <row r="53" spans="1:10" s="50" customFormat="1" ht="17.25" customHeight="1">
      <c r="A53" s="45"/>
      <c r="B53" s="61"/>
      <c r="C53" s="93" t="s">
        <v>24</v>
      </c>
      <c r="D53" s="94">
        <f>1807480-100000-1202500</f>
        <v>504980</v>
      </c>
      <c r="E53" s="95">
        <f t="shared" si="14"/>
        <v>0</v>
      </c>
      <c r="F53" s="92">
        <v>0</v>
      </c>
      <c r="G53" s="30">
        <v>0</v>
      </c>
      <c r="H53" s="30">
        <v>0</v>
      </c>
      <c r="I53" s="30">
        <v>0</v>
      </c>
      <c r="J53" s="34"/>
    </row>
    <row r="54" spans="1:10" s="50" customFormat="1" ht="28.5" customHeight="1">
      <c r="A54" s="45"/>
      <c r="B54" s="61"/>
      <c r="C54" s="93" t="s">
        <v>202</v>
      </c>
      <c r="D54" s="94">
        <f>2316594+336803</f>
        <v>2653397</v>
      </c>
      <c r="E54" s="95">
        <f t="shared" si="14"/>
        <v>0</v>
      </c>
      <c r="F54" s="92">
        <v>0</v>
      </c>
      <c r="G54" s="30">
        <v>0</v>
      </c>
      <c r="H54" s="30">
        <v>0</v>
      </c>
      <c r="I54" s="30">
        <v>0</v>
      </c>
      <c r="J54" s="34"/>
    </row>
    <row r="55" spans="1:10" s="50" customFormat="1" ht="19.5" customHeight="1">
      <c r="A55" s="45"/>
      <c r="B55" s="61"/>
      <c r="C55" s="93" t="s">
        <v>25</v>
      </c>
      <c r="D55" s="94">
        <f>28082190+30000-30000-2039321+5697520+814544</f>
        <v>32554933</v>
      </c>
      <c r="E55" s="95">
        <f t="shared" si="14"/>
        <v>0</v>
      </c>
      <c r="F55" s="92">
        <v>0</v>
      </c>
      <c r="G55" s="30">
        <v>0</v>
      </c>
      <c r="H55" s="30">
        <v>0</v>
      </c>
      <c r="I55" s="30">
        <v>0</v>
      </c>
      <c r="J55" s="34"/>
    </row>
    <row r="56" spans="1:10" s="50" customFormat="1" ht="28.5" customHeight="1">
      <c r="A56" s="45"/>
      <c r="B56" s="61"/>
      <c r="C56" s="93" t="s">
        <v>72</v>
      </c>
      <c r="D56" s="94">
        <f>12455027+2565347-40500+684500+850000+3300000</f>
        <v>19814374</v>
      </c>
      <c r="E56" s="95">
        <f t="shared" si="14"/>
        <v>0</v>
      </c>
      <c r="F56" s="92">
        <v>0</v>
      </c>
      <c r="G56" s="30">
        <v>0</v>
      </c>
      <c r="H56" s="30">
        <v>0</v>
      </c>
      <c r="I56" s="30">
        <v>0</v>
      </c>
      <c r="J56" s="34"/>
    </row>
    <row r="57" spans="1:10" s="50" customFormat="1" ht="28.5" customHeight="1">
      <c r="A57" s="45"/>
      <c r="B57" s="61"/>
      <c r="C57" s="93" t="s">
        <v>26</v>
      </c>
      <c r="D57" s="94">
        <f>15174087+20000+81-20000-100000-5774</f>
        <v>15068394</v>
      </c>
      <c r="E57" s="95">
        <f t="shared" si="14"/>
        <v>0</v>
      </c>
      <c r="F57" s="92">
        <v>0</v>
      </c>
      <c r="G57" s="30">
        <v>0</v>
      </c>
      <c r="H57" s="30">
        <v>0</v>
      </c>
      <c r="I57" s="30">
        <v>0</v>
      </c>
      <c r="J57" s="34"/>
    </row>
    <row r="58" spans="1:10" s="50" customFormat="1" ht="28.5" customHeight="1">
      <c r="A58" s="45"/>
      <c r="B58" s="61"/>
      <c r="C58" s="93" t="s">
        <v>27</v>
      </c>
      <c r="D58" s="94">
        <f>24511271+30000+241069-30000-427000-32427-750000-125239+300000+341000</f>
        <v>24058674</v>
      </c>
      <c r="E58" s="95">
        <f t="shared" si="14"/>
        <v>0</v>
      </c>
      <c r="F58" s="92">
        <v>0</v>
      </c>
      <c r="G58" s="30">
        <v>0</v>
      </c>
      <c r="H58" s="30">
        <v>0</v>
      </c>
      <c r="I58" s="30">
        <v>0</v>
      </c>
      <c r="J58" s="34"/>
    </row>
    <row r="59" spans="1:10" s="50" customFormat="1" ht="28.5" customHeight="1">
      <c r="A59" s="45"/>
      <c r="B59" s="61"/>
      <c r="C59" s="93" t="s">
        <v>28</v>
      </c>
      <c r="D59" s="94">
        <f>74749899-5828433-814544</f>
        <v>68106922</v>
      </c>
      <c r="E59" s="95">
        <f t="shared" si="14"/>
        <v>0</v>
      </c>
      <c r="F59" s="92">
        <v>0</v>
      </c>
      <c r="G59" s="30">
        <v>0</v>
      </c>
      <c r="H59" s="30">
        <v>0</v>
      </c>
      <c r="I59" s="30">
        <v>0</v>
      </c>
      <c r="J59" s="34"/>
    </row>
    <row r="60" spans="1:10" s="50" customFormat="1" ht="27" customHeight="1">
      <c r="A60" s="45"/>
      <c r="B60" s="61"/>
      <c r="C60" s="93" t="s">
        <v>29</v>
      </c>
      <c r="D60" s="94">
        <f>32824194+30000-30000-257176-2405125+750000-43331+700000</f>
        <v>31568562</v>
      </c>
      <c r="E60" s="95">
        <f t="shared" si="14"/>
        <v>0</v>
      </c>
      <c r="F60" s="92">
        <v>0</v>
      </c>
      <c r="G60" s="30">
        <v>0</v>
      </c>
      <c r="H60" s="30">
        <v>0</v>
      </c>
      <c r="I60" s="30">
        <v>0</v>
      </c>
      <c r="J60" s="34"/>
    </row>
    <row r="61" spans="1:10" s="50" customFormat="1" ht="38.25">
      <c r="A61" s="97"/>
      <c r="B61" s="98"/>
      <c r="C61" s="99" t="s">
        <v>30</v>
      </c>
      <c r="D61" s="100">
        <f>43114188-400000-1500000+1500000</f>
        <v>42714188</v>
      </c>
      <c r="E61" s="101">
        <f t="shared" si="14"/>
        <v>0</v>
      </c>
      <c r="F61" s="102">
        <v>0</v>
      </c>
      <c r="G61" s="36">
        <v>0</v>
      </c>
      <c r="H61" s="36">
        <v>0</v>
      </c>
      <c r="I61" s="36">
        <v>0</v>
      </c>
      <c r="J61" s="38"/>
    </row>
    <row r="62" spans="1:10" s="50" customFormat="1" ht="38.25">
      <c r="A62" s="21"/>
      <c r="B62" s="103"/>
      <c r="C62" s="104" t="s">
        <v>70</v>
      </c>
      <c r="D62" s="105">
        <f>6711146+1000-1000+1010461+19000-5919000-3590-1135-189+190</f>
        <v>1816883</v>
      </c>
      <c r="E62" s="87">
        <f t="shared" si="14"/>
        <v>0</v>
      </c>
      <c r="F62" s="106">
        <v>0</v>
      </c>
      <c r="G62" s="53">
        <v>0</v>
      </c>
      <c r="H62" s="53">
        <v>0</v>
      </c>
      <c r="I62" s="53">
        <v>0</v>
      </c>
      <c r="J62" s="32" t="s">
        <v>22</v>
      </c>
    </row>
    <row r="63" spans="1:10" s="50" customFormat="1" ht="28.5" customHeight="1">
      <c r="A63" s="45"/>
      <c r="B63" s="61"/>
      <c r="C63" s="93" t="s">
        <v>31</v>
      </c>
      <c r="D63" s="94">
        <f>37559980+49033+2014000</f>
        <v>39623013</v>
      </c>
      <c r="E63" s="95">
        <f t="shared" si="14"/>
        <v>0</v>
      </c>
      <c r="F63" s="92">
        <v>0</v>
      </c>
      <c r="G63" s="30">
        <v>0</v>
      </c>
      <c r="H63" s="30">
        <v>0</v>
      </c>
      <c r="I63" s="30">
        <v>0</v>
      </c>
      <c r="J63" s="57"/>
    </row>
    <row r="64" spans="1:10" s="50" customFormat="1" ht="38.25">
      <c r="A64" s="45"/>
      <c r="B64" s="61"/>
      <c r="C64" s="93" t="s">
        <v>71</v>
      </c>
      <c r="D64" s="94">
        <f>43176316-1000000-1400000-1300000+1500000</f>
        <v>40976316</v>
      </c>
      <c r="E64" s="95">
        <f t="shared" si="14"/>
        <v>0</v>
      </c>
      <c r="F64" s="92">
        <v>0</v>
      </c>
      <c r="G64" s="30">
        <v>0</v>
      </c>
      <c r="H64" s="30">
        <v>0</v>
      </c>
      <c r="I64" s="30">
        <v>0</v>
      </c>
      <c r="J64" s="57"/>
    </row>
    <row r="65" spans="1:10" s="50" customFormat="1" ht="27" customHeight="1">
      <c r="A65" s="45"/>
      <c r="B65" s="61"/>
      <c r="C65" s="93" t="s">
        <v>32</v>
      </c>
      <c r="D65" s="94">
        <f>8540123+1000-1000+2322163+19000-19000+15498</f>
        <v>10877784</v>
      </c>
      <c r="E65" s="95">
        <f t="shared" si="14"/>
        <v>0</v>
      </c>
      <c r="F65" s="92">
        <v>0</v>
      </c>
      <c r="G65" s="30">
        <v>0</v>
      </c>
      <c r="H65" s="30">
        <v>0</v>
      </c>
      <c r="I65" s="30">
        <v>0</v>
      </c>
      <c r="J65" s="57"/>
    </row>
    <row r="66" spans="1:10" s="50" customFormat="1" ht="30" customHeight="1">
      <c r="A66" s="45"/>
      <c r="B66" s="61"/>
      <c r="C66" s="93" t="s">
        <v>33</v>
      </c>
      <c r="D66" s="94">
        <v>342031</v>
      </c>
      <c r="E66" s="95">
        <f t="shared" si="14"/>
        <v>0</v>
      </c>
      <c r="F66" s="92">
        <v>0</v>
      </c>
      <c r="G66" s="30">
        <v>0</v>
      </c>
      <c r="H66" s="30">
        <v>0</v>
      </c>
      <c r="I66" s="30">
        <v>0</v>
      </c>
      <c r="J66" s="57"/>
    </row>
    <row r="67" spans="1:10" s="50" customFormat="1" ht="55.5" customHeight="1">
      <c r="A67" s="45"/>
      <c r="B67" s="61"/>
      <c r="C67" s="93" t="s">
        <v>111</v>
      </c>
      <c r="D67" s="94">
        <f>23180646-62653-25467</f>
        <v>23092526</v>
      </c>
      <c r="E67" s="95">
        <f t="shared" si="14"/>
        <v>0</v>
      </c>
      <c r="F67" s="92">
        <v>0</v>
      </c>
      <c r="G67" s="30">
        <v>0</v>
      </c>
      <c r="H67" s="30">
        <v>0</v>
      </c>
      <c r="I67" s="30">
        <v>0</v>
      </c>
      <c r="J67" s="57"/>
    </row>
    <row r="68" spans="1:10" ht="21" customHeight="1">
      <c r="A68" s="45"/>
      <c r="B68" s="66"/>
      <c r="C68" s="107" t="s">
        <v>142</v>
      </c>
      <c r="D68" s="108">
        <v>54000</v>
      </c>
      <c r="E68" s="83">
        <f t="shared" ref="E68" si="15">SUM(F68:I68)</f>
        <v>0</v>
      </c>
      <c r="F68" s="108">
        <v>0</v>
      </c>
      <c r="G68" s="30">
        <v>0</v>
      </c>
      <c r="H68" s="30">
        <v>0</v>
      </c>
      <c r="I68" s="30">
        <v>0</v>
      </c>
      <c r="J68" s="57"/>
    </row>
    <row r="69" spans="1:10" ht="39.75" customHeight="1">
      <c r="A69" s="45"/>
      <c r="B69" s="66"/>
      <c r="C69" s="107" t="s">
        <v>143</v>
      </c>
      <c r="D69" s="108">
        <v>0</v>
      </c>
      <c r="E69" s="83">
        <f t="shared" si="12"/>
        <v>90000</v>
      </c>
      <c r="F69" s="108">
        <v>90000</v>
      </c>
      <c r="G69" s="30">
        <v>0</v>
      </c>
      <c r="H69" s="30">
        <v>0</v>
      </c>
      <c r="I69" s="30">
        <v>0</v>
      </c>
      <c r="J69" s="57"/>
    </row>
    <row r="70" spans="1:10" ht="21" customHeight="1">
      <c r="A70" s="45"/>
      <c r="B70" s="66"/>
      <c r="C70" s="107" t="s">
        <v>34</v>
      </c>
      <c r="D70" s="108">
        <v>0</v>
      </c>
      <c r="E70" s="83">
        <f t="shared" si="12"/>
        <v>778000</v>
      </c>
      <c r="F70" s="108">
        <f>356000+80000+160000+50000+100000+22000+10000</f>
        <v>778000</v>
      </c>
      <c r="G70" s="30">
        <v>0</v>
      </c>
      <c r="H70" s="30">
        <v>0</v>
      </c>
      <c r="I70" s="30">
        <v>0</v>
      </c>
      <c r="J70" s="57"/>
    </row>
    <row r="71" spans="1:10" ht="46.5" customHeight="1">
      <c r="A71" s="45"/>
      <c r="B71" s="66"/>
      <c r="C71" s="107" t="s">
        <v>157</v>
      </c>
      <c r="D71" s="108">
        <v>0</v>
      </c>
      <c r="E71" s="83">
        <f t="shared" si="12"/>
        <v>1300000</v>
      </c>
      <c r="F71" s="108">
        <f>1300000-507500</f>
        <v>792500</v>
      </c>
      <c r="G71" s="30">
        <v>507500</v>
      </c>
      <c r="H71" s="30">
        <v>0</v>
      </c>
      <c r="I71" s="30">
        <v>0</v>
      </c>
      <c r="J71" s="57"/>
    </row>
    <row r="72" spans="1:10" s="50" customFormat="1" ht="41.25" customHeight="1">
      <c r="A72" s="45"/>
      <c r="B72" s="61"/>
      <c r="C72" s="96" t="s">
        <v>158</v>
      </c>
      <c r="D72" s="94">
        <v>0</v>
      </c>
      <c r="E72" s="109">
        <f t="shared" ref="E72:E115" si="16">SUM(F72:I72)</f>
        <v>1000000</v>
      </c>
      <c r="F72" s="94">
        <v>1000000</v>
      </c>
      <c r="G72" s="30">
        <v>0</v>
      </c>
      <c r="H72" s="30">
        <v>0</v>
      </c>
      <c r="I72" s="30">
        <v>0</v>
      </c>
      <c r="J72" s="57"/>
    </row>
    <row r="73" spans="1:10" ht="38.25">
      <c r="A73" s="45"/>
      <c r="B73" s="78"/>
      <c r="C73" s="110" t="s">
        <v>203</v>
      </c>
      <c r="D73" s="111">
        <v>0</v>
      </c>
      <c r="E73" s="109">
        <f t="shared" si="16"/>
        <v>450000</v>
      </c>
      <c r="F73" s="112">
        <v>450000</v>
      </c>
      <c r="G73" s="40">
        <v>0</v>
      </c>
      <c r="H73" s="40">
        <v>0</v>
      </c>
      <c r="I73" s="40">
        <v>0</v>
      </c>
      <c r="J73" s="57"/>
    </row>
    <row r="74" spans="1:10" s="50" customFormat="1" ht="28.5" customHeight="1">
      <c r="A74" s="45"/>
      <c r="B74" s="61"/>
      <c r="C74" s="113" t="s">
        <v>159</v>
      </c>
      <c r="D74" s="114">
        <v>0</v>
      </c>
      <c r="E74" s="95">
        <f t="shared" si="16"/>
        <v>1000000</v>
      </c>
      <c r="F74" s="92">
        <v>750000</v>
      </c>
      <c r="G74" s="30">
        <v>0</v>
      </c>
      <c r="H74" s="30">
        <v>250000</v>
      </c>
      <c r="I74" s="40">
        <v>0</v>
      </c>
      <c r="J74" s="57"/>
    </row>
    <row r="75" spans="1:10" s="50" customFormat="1" ht="28.5" customHeight="1">
      <c r="A75" s="45"/>
      <c r="B75" s="61"/>
      <c r="C75" s="93" t="s">
        <v>160</v>
      </c>
      <c r="D75" s="114">
        <v>0</v>
      </c>
      <c r="E75" s="95">
        <f t="shared" si="16"/>
        <v>200000</v>
      </c>
      <c r="F75" s="92">
        <v>100000</v>
      </c>
      <c r="G75" s="30">
        <v>0</v>
      </c>
      <c r="H75" s="30">
        <v>100000</v>
      </c>
      <c r="I75" s="40">
        <v>0</v>
      </c>
      <c r="J75" s="57"/>
    </row>
    <row r="76" spans="1:10" s="50" customFormat="1" ht="28.5" customHeight="1">
      <c r="A76" s="45"/>
      <c r="B76" s="61"/>
      <c r="C76" s="93" t="s">
        <v>161</v>
      </c>
      <c r="D76" s="114">
        <v>0</v>
      </c>
      <c r="E76" s="95">
        <f t="shared" si="16"/>
        <v>400000</v>
      </c>
      <c r="F76" s="92">
        <v>400000</v>
      </c>
      <c r="G76" s="30">
        <v>0</v>
      </c>
      <c r="H76" s="30">
        <v>0</v>
      </c>
      <c r="I76" s="40">
        <v>0</v>
      </c>
      <c r="J76" s="57"/>
    </row>
    <row r="77" spans="1:10" s="50" customFormat="1" ht="53.25" customHeight="1">
      <c r="A77" s="45"/>
      <c r="B77" s="61"/>
      <c r="C77" s="93" t="s">
        <v>204</v>
      </c>
      <c r="D77" s="114">
        <v>0</v>
      </c>
      <c r="E77" s="95">
        <f t="shared" si="16"/>
        <v>542000</v>
      </c>
      <c r="F77" s="92">
        <v>200000</v>
      </c>
      <c r="G77" s="30">
        <v>0</v>
      </c>
      <c r="H77" s="30">
        <v>342000</v>
      </c>
      <c r="I77" s="40">
        <v>0</v>
      </c>
      <c r="J77" s="57"/>
    </row>
    <row r="78" spans="1:10" s="50" customFormat="1" ht="28.5" customHeight="1">
      <c r="A78" s="45"/>
      <c r="B78" s="61"/>
      <c r="C78" s="93" t="s">
        <v>162</v>
      </c>
      <c r="D78" s="114">
        <v>0</v>
      </c>
      <c r="E78" s="95">
        <f t="shared" si="16"/>
        <v>130000</v>
      </c>
      <c r="F78" s="92">
        <v>100000</v>
      </c>
      <c r="G78" s="30">
        <v>0</v>
      </c>
      <c r="H78" s="30">
        <v>30000</v>
      </c>
      <c r="I78" s="40">
        <v>0</v>
      </c>
      <c r="J78" s="57"/>
    </row>
    <row r="79" spans="1:10" s="50" customFormat="1" ht="53.25" customHeight="1">
      <c r="A79" s="45"/>
      <c r="B79" s="61"/>
      <c r="C79" s="93" t="s">
        <v>205</v>
      </c>
      <c r="D79" s="114">
        <v>0</v>
      </c>
      <c r="E79" s="95">
        <f t="shared" si="16"/>
        <v>300000</v>
      </c>
      <c r="F79" s="92">
        <v>230000</v>
      </c>
      <c r="G79" s="30">
        <v>0</v>
      </c>
      <c r="H79" s="30">
        <v>70000</v>
      </c>
      <c r="I79" s="40">
        <v>0</v>
      </c>
      <c r="J79" s="57"/>
    </row>
    <row r="80" spans="1:10" s="50" customFormat="1" ht="28.5" customHeight="1">
      <c r="A80" s="45"/>
      <c r="B80" s="61"/>
      <c r="C80" s="93" t="s">
        <v>163</v>
      </c>
      <c r="D80" s="114">
        <v>0</v>
      </c>
      <c r="E80" s="95">
        <f t="shared" si="16"/>
        <v>350000</v>
      </c>
      <c r="F80" s="92">
        <v>350000</v>
      </c>
      <c r="G80" s="30">
        <v>0</v>
      </c>
      <c r="H80" s="30">
        <v>0</v>
      </c>
      <c r="I80" s="40">
        <v>0</v>
      </c>
      <c r="J80" s="57"/>
    </row>
    <row r="81" spans="1:10" s="50" customFormat="1" ht="19.5" customHeight="1">
      <c r="A81" s="45"/>
      <c r="B81" s="61"/>
      <c r="C81" s="93" t="s">
        <v>164</v>
      </c>
      <c r="D81" s="114">
        <v>0</v>
      </c>
      <c r="E81" s="95">
        <f t="shared" si="16"/>
        <v>50000</v>
      </c>
      <c r="F81" s="92">
        <v>50000</v>
      </c>
      <c r="G81" s="30">
        <v>0</v>
      </c>
      <c r="H81" s="30">
        <v>0</v>
      </c>
      <c r="I81" s="40">
        <v>0</v>
      </c>
      <c r="J81" s="57"/>
    </row>
    <row r="82" spans="1:10" s="50" customFormat="1" ht="28.5" customHeight="1">
      <c r="A82" s="45"/>
      <c r="B82" s="61"/>
      <c r="C82" s="93" t="s">
        <v>165</v>
      </c>
      <c r="D82" s="114">
        <v>0</v>
      </c>
      <c r="E82" s="95">
        <f t="shared" si="16"/>
        <v>100000</v>
      </c>
      <c r="F82" s="92">
        <v>50000</v>
      </c>
      <c r="G82" s="30">
        <v>0</v>
      </c>
      <c r="H82" s="30">
        <v>50000</v>
      </c>
      <c r="I82" s="40">
        <v>0</v>
      </c>
      <c r="J82" s="57"/>
    </row>
    <row r="83" spans="1:10" s="50" customFormat="1" ht="53.25" customHeight="1">
      <c r="A83" s="45"/>
      <c r="B83" s="61"/>
      <c r="C83" s="93" t="s">
        <v>214</v>
      </c>
      <c r="D83" s="114">
        <v>0</v>
      </c>
      <c r="E83" s="95">
        <f t="shared" si="16"/>
        <v>850000</v>
      </c>
      <c r="F83" s="92">
        <f>300000+500000</f>
        <v>800000</v>
      </c>
      <c r="G83" s="30">
        <v>0</v>
      </c>
      <c r="H83" s="30">
        <v>50000</v>
      </c>
      <c r="I83" s="40">
        <v>0</v>
      </c>
      <c r="J83" s="57"/>
    </row>
    <row r="84" spans="1:10" s="50" customFormat="1" ht="28.5" customHeight="1">
      <c r="A84" s="45"/>
      <c r="B84" s="61"/>
      <c r="C84" s="93" t="s">
        <v>206</v>
      </c>
      <c r="D84" s="114">
        <v>0</v>
      </c>
      <c r="E84" s="95">
        <f t="shared" si="16"/>
        <v>230000</v>
      </c>
      <c r="F84" s="92">
        <v>180000</v>
      </c>
      <c r="G84" s="30">
        <v>0</v>
      </c>
      <c r="H84" s="30">
        <v>50000</v>
      </c>
      <c r="I84" s="30">
        <v>0</v>
      </c>
      <c r="J84" s="57"/>
    </row>
    <row r="85" spans="1:10" s="50" customFormat="1" ht="28.5" customHeight="1">
      <c r="A85" s="45"/>
      <c r="B85" s="61"/>
      <c r="C85" s="115" t="s">
        <v>207</v>
      </c>
      <c r="D85" s="116">
        <v>0</v>
      </c>
      <c r="E85" s="109">
        <f t="shared" si="16"/>
        <v>380000</v>
      </c>
      <c r="F85" s="117">
        <v>280000</v>
      </c>
      <c r="G85" s="40">
        <v>0</v>
      </c>
      <c r="H85" s="40">
        <v>100000</v>
      </c>
      <c r="I85" s="40">
        <v>0</v>
      </c>
      <c r="J85" s="57"/>
    </row>
    <row r="86" spans="1:10" s="50" customFormat="1" ht="28.5" customHeight="1">
      <c r="A86" s="45"/>
      <c r="B86" s="61"/>
      <c r="C86" s="93" t="s">
        <v>208</v>
      </c>
      <c r="D86" s="114">
        <v>0</v>
      </c>
      <c r="E86" s="95">
        <f t="shared" si="16"/>
        <v>300000</v>
      </c>
      <c r="F86" s="92">
        <v>150000</v>
      </c>
      <c r="G86" s="30">
        <v>0</v>
      </c>
      <c r="H86" s="30">
        <v>150000</v>
      </c>
      <c r="I86" s="40">
        <v>0</v>
      </c>
      <c r="J86" s="57"/>
    </row>
    <row r="87" spans="1:10" s="50" customFormat="1" ht="39.75" customHeight="1">
      <c r="A87" s="45"/>
      <c r="B87" s="61"/>
      <c r="C87" s="93" t="s">
        <v>166</v>
      </c>
      <c r="D87" s="114">
        <v>0</v>
      </c>
      <c r="E87" s="95">
        <f t="shared" si="16"/>
        <v>375000</v>
      </c>
      <c r="F87" s="92">
        <v>250000</v>
      </c>
      <c r="G87" s="30">
        <v>0</v>
      </c>
      <c r="H87" s="30">
        <v>125000</v>
      </c>
      <c r="I87" s="40">
        <v>0</v>
      </c>
      <c r="J87" s="57"/>
    </row>
    <row r="88" spans="1:10" s="50" customFormat="1" ht="28.5" customHeight="1">
      <c r="A88" s="45"/>
      <c r="B88" s="61"/>
      <c r="C88" s="93" t="s">
        <v>167</v>
      </c>
      <c r="D88" s="114">
        <v>0</v>
      </c>
      <c r="E88" s="95">
        <f t="shared" si="16"/>
        <v>110000</v>
      </c>
      <c r="F88" s="92">
        <v>90000</v>
      </c>
      <c r="G88" s="30">
        <v>0</v>
      </c>
      <c r="H88" s="30">
        <v>20000</v>
      </c>
      <c r="I88" s="40">
        <v>0</v>
      </c>
      <c r="J88" s="57"/>
    </row>
    <row r="89" spans="1:10" s="50" customFormat="1" ht="28.5" customHeight="1">
      <c r="A89" s="45"/>
      <c r="B89" s="61"/>
      <c r="C89" s="93" t="s">
        <v>168</v>
      </c>
      <c r="D89" s="114">
        <v>0</v>
      </c>
      <c r="E89" s="95">
        <f t="shared" si="16"/>
        <v>150000</v>
      </c>
      <c r="F89" s="92">
        <v>130000</v>
      </c>
      <c r="G89" s="30">
        <v>0</v>
      </c>
      <c r="H89" s="30">
        <v>20000</v>
      </c>
      <c r="I89" s="40">
        <v>0</v>
      </c>
      <c r="J89" s="57"/>
    </row>
    <row r="90" spans="1:10" s="50" customFormat="1" ht="28.5" customHeight="1">
      <c r="A90" s="45"/>
      <c r="B90" s="61"/>
      <c r="C90" s="93" t="s">
        <v>169</v>
      </c>
      <c r="D90" s="114">
        <v>0</v>
      </c>
      <c r="E90" s="95">
        <f t="shared" si="16"/>
        <v>250000</v>
      </c>
      <c r="F90" s="92">
        <v>250000</v>
      </c>
      <c r="G90" s="30">
        <v>0</v>
      </c>
      <c r="H90" s="30">
        <v>0</v>
      </c>
      <c r="I90" s="40">
        <v>0</v>
      </c>
      <c r="J90" s="57"/>
    </row>
    <row r="91" spans="1:10" s="50" customFormat="1" ht="28.5" customHeight="1">
      <c r="A91" s="45"/>
      <c r="B91" s="61"/>
      <c r="C91" s="93" t="s">
        <v>187</v>
      </c>
      <c r="D91" s="114">
        <v>0</v>
      </c>
      <c r="E91" s="95">
        <f t="shared" si="16"/>
        <v>323000</v>
      </c>
      <c r="F91" s="92">
        <v>200000</v>
      </c>
      <c r="G91" s="30">
        <v>0</v>
      </c>
      <c r="H91" s="30">
        <v>123000</v>
      </c>
      <c r="I91" s="40">
        <v>0</v>
      </c>
      <c r="J91" s="57"/>
    </row>
    <row r="92" spans="1:10" s="50" customFormat="1" ht="28.5" customHeight="1">
      <c r="A92" s="45"/>
      <c r="B92" s="61"/>
      <c r="C92" s="93" t="s">
        <v>170</v>
      </c>
      <c r="D92" s="114">
        <v>0</v>
      </c>
      <c r="E92" s="95">
        <f t="shared" si="16"/>
        <v>450000</v>
      </c>
      <c r="F92" s="92">
        <f>350000-50000</f>
        <v>300000</v>
      </c>
      <c r="G92" s="30">
        <v>0</v>
      </c>
      <c r="H92" s="30">
        <v>150000</v>
      </c>
      <c r="I92" s="40">
        <v>0</v>
      </c>
      <c r="J92" s="57"/>
    </row>
    <row r="93" spans="1:10" s="50" customFormat="1" ht="28.5" customHeight="1">
      <c r="A93" s="45"/>
      <c r="B93" s="61"/>
      <c r="C93" s="93" t="s">
        <v>171</v>
      </c>
      <c r="D93" s="114">
        <v>0</v>
      </c>
      <c r="E93" s="95">
        <f t="shared" si="16"/>
        <v>520000</v>
      </c>
      <c r="F93" s="92">
        <f>550000-80000</f>
        <v>470000</v>
      </c>
      <c r="G93" s="30">
        <v>0</v>
      </c>
      <c r="H93" s="30">
        <v>50000</v>
      </c>
      <c r="I93" s="40">
        <v>0</v>
      </c>
      <c r="J93" s="57"/>
    </row>
    <row r="94" spans="1:10" s="50" customFormat="1" ht="28.5" customHeight="1">
      <c r="A94" s="45"/>
      <c r="B94" s="61"/>
      <c r="C94" s="93" t="s">
        <v>172</v>
      </c>
      <c r="D94" s="114">
        <v>0</v>
      </c>
      <c r="E94" s="95">
        <f t="shared" si="16"/>
        <v>430000</v>
      </c>
      <c r="F94" s="92">
        <v>430000</v>
      </c>
      <c r="G94" s="30">
        <v>0</v>
      </c>
      <c r="H94" s="30">
        <v>0</v>
      </c>
      <c r="I94" s="40">
        <v>0</v>
      </c>
      <c r="J94" s="57"/>
    </row>
    <row r="95" spans="1:10" s="50" customFormat="1" ht="28.5" customHeight="1">
      <c r="A95" s="45"/>
      <c r="B95" s="61"/>
      <c r="C95" s="93" t="s">
        <v>173</v>
      </c>
      <c r="D95" s="114">
        <v>0</v>
      </c>
      <c r="E95" s="95">
        <f t="shared" si="16"/>
        <v>100000</v>
      </c>
      <c r="F95" s="92">
        <v>95000</v>
      </c>
      <c r="G95" s="30">
        <v>0</v>
      </c>
      <c r="H95" s="30">
        <v>5000</v>
      </c>
      <c r="I95" s="40">
        <v>0</v>
      </c>
      <c r="J95" s="57"/>
    </row>
    <row r="96" spans="1:10" s="50" customFormat="1" ht="27" customHeight="1">
      <c r="A96" s="45"/>
      <c r="B96" s="61"/>
      <c r="C96" s="93" t="s">
        <v>174</v>
      </c>
      <c r="D96" s="114">
        <v>0</v>
      </c>
      <c r="E96" s="95">
        <f t="shared" si="16"/>
        <v>150000</v>
      </c>
      <c r="F96" s="92">
        <v>150000</v>
      </c>
      <c r="G96" s="30">
        <v>0</v>
      </c>
      <c r="H96" s="30">
        <v>0</v>
      </c>
      <c r="I96" s="40">
        <v>0</v>
      </c>
      <c r="J96" s="57"/>
    </row>
    <row r="97" spans="1:10" s="50" customFormat="1" ht="27" customHeight="1">
      <c r="A97" s="45"/>
      <c r="B97" s="61"/>
      <c r="C97" s="93" t="s">
        <v>175</v>
      </c>
      <c r="D97" s="114">
        <v>0</v>
      </c>
      <c r="E97" s="95">
        <f t="shared" si="16"/>
        <v>50000</v>
      </c>
      <c r="F97" s="92">
        <v>50000</v>
      </c>
      <c r="G97" s="30">
        <v>0</v>
      </c>
      <c r="H97" s="30">
        <v>0</v>
      </c>
      <c r="I97" s="40">
        <v>0</v>
      </c>
      <c r="J97" s="57"/>
    </row>
    <row r="98" spans="1:10" s="50" customFormat="1" ht="27" customHeight="1">
      <c r="A98" s="45"/>
      <c r="B98" s="61"/>
      <c r="C98" s="93" t="s">
        <v>176</v>
      </c>
      <c r="D98" s="114">
        <v>0</v>
      </c>
      <c r="E98" s="95">
        <f t="shared" si="16"/>
        <v>80000</v>
      </c>
      <c r="F98" s="92">
        <v>60000</v>
      </c>
      <c r="G98" s="30">
        <v>0</v>
      </c>
      <c r="H98" s="30">
        <v>20000</v>
      </c>
      <c r="I98" s="40">
        <v>0</v>
      </c>
      <c r="J98" s="57"/>
    </row>
    <row r="99" spans="1:10" s="50" customFormat="1" ht="27" customHeight="1">
      <c r="A99" s="45"/>
      <c r="B99" s="61"/>
      <c r="C99" s="93" t="s">
        <v>177</v>
      </c>
      <c r="D99" s="114">
        <v>0</v>
      </c>
      <c r="E99" s="95">
        <f t="shared" si="16"/>
        <v>150000</v>
      </c>
      <c r="F99" s="92">
        <v>140000</v>
      </c>
      <c r="G99" s="30">
        <v>0</v>
      </c>
      <c r="H99" s="30">
        <v>10000</v>
      </c>
      <c r="I99" s="40">
        <v>0</v>
      </c>
      <c r="J99" s="57"/>
    </row>
    <row r="100" spans="1:10" s="50" customFormat="1" ht="27" customHeight="1">
      <c r="A100" s="97"/>
      <c r="B100" s="98"/>
      <c r="C100" s="99" t="s">
        <v>178</v>
      </c>
      <c r="D100" s="118">
        <v>0</v>
      </c>
      <c r="E100" s="101">
        <f t="shared" si="16"/>
        <v>1700000</v>
      </c>
      <c r="F100" s="102">
        <v>1500000</v>
      </c>
      <c r="G100" s="36">
        <v>0</v>
      </c>
      <c r="H100" s="36">
        <v>200000</v>
      </c>
      <c r="I100" s="75">
        <v>0</v>
      </c>
      <c r="J100" s="56"/>
    </row>
    <row r="101" spans="1:10" s="50" customFormat="1" ht="41.25" customHeight="1">
      <c r="A101" s="45"/>
      <c r="B101" s="61"/>
      <c r="C101" s="115" t="s">
        <v>209</v>
      </c>
      <c r="D101" s="112">
        <v>0</v>
      </c>
      <c r="E101" s="109">
        <f t="shared" si="16"/>
        <v>3300000</v>
      </c>
      <c r="F101" s="117">
        <v>3200000</v>
      </c>
      <c r="G101" s="40">
        <v>0</v>
      </c>
      <c r="H101" s="40">
        <v>100000</v>
      </c>
      <c r="I101" s="40">
        <v>0</v>
      </c>
      <c r="J101" s="32" t="s">
        <v>22</v>
      </c>
    </row>
    <row r="102" spans="1:10" s="50" customFormat="1" ht="27" customHeight="1">
      <c r="A102" s="45"/>
      <c r="B102" s="61"/>
      <c r="C102" s="93" t="s">
        <v>179</v>
      </c>
      <c r="D102" s="114">
        <v>0</v>
      </c>
      <c r="E102" s="95">
        <f t="shared" si="16"/>
        <v>1060000</v>
      </c>
      <c r="F102" s="92">
        <f>1200000-140000</f>
        <v>1060000</v>
      </c>
      <c r="G102" s="30">
        <v>0</v>
      </c>
      <c r="H102" s="30">
        <v>0</v>
      </c>
      <c r="I102" s="30">
        <v>0</v>
      </c>
      <c r="J102" s="57"/>
    </row>
    <row r="103" spans="1:10" s="50" customFormat="1" ht="27" customHeight="1">
      <c r="A103" s="45"/>
      <c r="B103" s="61"/>
      <c r="C103" s="93" t="s">
        <v>180</v>
      </c>
      <c r="D103" s="114">
        <v>0</v>
      </c>
      <c r="E103" s="95">
        <f t="shared" si="16"/>
        <v>2820000</v>
      </c>
      <c r="F103" s="92">
        <f>2950000-180000</f>
        <v>2770000</v>
      </c>
      <c r="G103" s="30">
        <v>0</v>
      </c>
      <c r="H103" s="30">
        <v>50000</v>
      </c>
      <c r="I103" s="30">
        <v>0</v>
      </c>
      <c r="J103" s="57"/>
    </row>
    <row r="104" spans="1:10" s="50" customFormat="1" ht="27" customHeight="1">
      <c r="A104" s="45"/>
      <c r="B104" s="61"/>
      <c r="C104" s="115" t="s">
        <v>210</v>
      </c>
      <c r="D104" s="116">
        <v>0</v>
      </c>
      <c r="E104" s="109">
        <f t="shared" si="16"/>
        <v>2490000</v>
      </c>
      <c r="F104" s="117">
        <f>1790000+700000</f>
        <v>2490000</v>
      </c>
      <c r="G104" s="40">
        <v>0</v>
      </c>
      <c r="H104" s="40">
        <v>0</v>
      </c>
      <c r="I104" s="40">
        <v>0</v>
      </c>
      <c r="J104" s="57"/>
    </row>
    <row r="105" spans="1:10" s="50" customFormat="1" ht="27" customHeight="1">
      <c r="A105" s="45"/>
      <c r="B105" s="61"/>
      <c r="C105" s="93" t="s">
        <v>181</v>
      </c>
      <c r="D105" s="114">
        <v>0</v>
      </c>
      <c r="E105" s="95">
        <f t="shared" si="16"/>
        <v>600000</v>
      </c>
      <c r="F105" s="92">
        <v>500000</v>
      </c>
      <c r="G105" s="30">
        <v>0</v>
      </c>
      <c r="H105" s="40">
        <v>100000</v>
      </c>
      <c r="I105" s="40">
        <v>0</v>
      </c>
      <c r="J105" s="57"/>
    </row>
    <row r="106" spans="1:10" s="50" customFormat="1" ht="27" customHeight="1">
      <c r="A106" s="45"/>
      <c r="B106" s="61"/>
      <c r="C106" s="93" t="s">
        <v>182</v>
      </c>
      <c r="D106" s="114">
        <v>0</v>
      </c>
      <c r="E106" s="95">
        <f t="shared" si="16"/>
        <v>500000</v>
      </c>
      <c r="F106" s="92">
        <v>500000</v>
      </c>
      <c r="G106" s="30">
        <v>0</v>
      </c>
      <c r="H106" s="30">
        <v>0</v>
      </c>
      <c r="I106" s="40">
        <v>0</v>
      </c>
      <c r="J106" s="57"/>
    </row>
    <row r="107" spans="1:10" s="50" customFormat="1" ht="27" customHeight="1">
      <c r="A107" s="45"/>
      <c r="B107" s="61"/>
      <c r="C107" s="93" t="s">
        <v>211</v>
      </c>
      <c r="D107" s="114">
        <v>0</v>
      </c>
      <c r="E107" s="95">
        <f t="shared" si="16"/>
        <v>2500000</v>
      </c>
      <c r="F107" s="92">
        <v>2500000</v>
      </c>
      <c r="G107" s="30">
        <v>0</v>
      </c>
      <c r="H107" s="30">
        <v>0</v>
      </c>
      <c r="I107" s="30">
        <v>0</v>
      </c>
      <c r="J107" s="57"/>
    </row>
    <row r="108" spans="1:10" s="50" customFormat="1" ht="39.75" customHeight="1">
      <c r="A108" s="45"/>
      <c r="B108" s="61"/>
      <c r="C108" s="93" t="s">
        <v>183</v>
      </c>
      <c r="D108" s="114">
        <v>0</v>
      </c>
      <c r="E108" s="95">
        <f t="shared" si="16"/>
        <v>970000</v>
      </c>
      <c r="F108" s="92">
        <v>955000</v>
      </c>
      <c r="G108" s="30">
        <v>0</v>
      </c>
      <c r="H108" s="30">
        <v>15000</v>
      </c>
      <c r="I108" s="40">
        <v>0</v>
      </c>
      <c r="J108" s="57"/>
    </row>
    <row r="109" spans="1:10" s="50" customFormat="1" ht="27" customHeight="1">
      <c r="A109" s="45"/>
      <c r="B109" s="61"/>
      <c r="C109" s="93" t="s">
        <v>184</v>
      </c>
      <c r="D109" s="114">
        <v>0</v>
      </c>
      <c r="E109" s="95">
        <f t="shared" si="16"/>
        <v>250000</v>
      </c>
      <c r="F109" s="92">
        <v>250000</v>
      </c>
      <c r="G109" s="30">
        <v>0</v>
      </c>
      <c r="H109" s="30">
        <v>0</v>
      </c>
      <c r="I109" s="40">
        <v>0</v>
      </c>
      <c r="J109" s="57"/>
    </row>
    <row r="110" spans="1:10" s="50" customFormat="1" ht="27" customHeight="1">
      <c r="A110" s="45"/>
      <c r="B110" s="61"/>
      <c r="C110" s="93" t="s">
        <v>219</v>
      </c>
      <c r="D110" s="114">
        <v>0</v>
      </c>
      <c r="E110" s="95">
        <f t="shared" si="16"/>
        <v>950000</v>
      </c>
      <c r="F110" s="92">
        <f>1000000-50000</f>
        <v>950000</v>
      </c>
      <c r="G110" s="30">
        <v>0</v>
      </c>
      <c r="H110" s="30">
        <v>0</v>
      </c>
      <c r="I110" s="40">
        <v>0</v>
      </c>
      <c r="J110" s="57"/>
    </row>
    <row r="111" spans="1:10" s="50" customFormat="1" ht="27" customHeight="1">
      <c r="A111" s="45"/>
      <c r="B111" s="61"/>
      <c r="C111" s="93" t="s">
        <v>185</v>
      </c>
      <c r="D111" s="114">
        <v>0</v>
      </c>
      <c r="E111" s="95">
        <f t="shared" si="16"/>
        <v>700000</v>
      </c>
      <c r="F111" s="92">
        <v>700000</v>
      </c>
      <c r="G111" s="30">
        <v>0</v>
      </c>
      <c r="H111" s="30">
        <v>0</v>
      </c>
      <c r="I111" s="40">
        <v>0</v>
      </c>
      <c r="J111" s="57"/>
    </row>
    <row r="112" spans="1:10" s="50" customFormat="1" ht="27" customHeight="1">
      <c r="A112" s="45"/>
      <c r="B112" s="61"/>
      <c r="C112" s="93" t="s">
        <v>195</v>
      </c>
      <c r="D112" s="114">
        <v>0</v>
      </c>
      <c r="E112" s="95">
        <f t="shared" si="16"/>
        <v>1750000</v>
      </c>
      <c r="F112" s="92">
        <v>1750000</v>
      </c>
      <c r="G112" s="30">
        <v>0</v>
      </c>
      <c r="H112" s="30">
        <v>0</v>
      </c>
      <c r="I112" s="40">
        <v>0</v>
      </c>
      <c r="J112" s="57"/>
    </row>
    <row r="113" spans="1:10" s="50" customFormat="1" ht="27" customHeight="1">
      <c r="A113" s="45"/>
      <c r="B113" s="61"/>
      <c r="C113" s="93" t="s">
        <v>186</v>
      </c>
      <c r="D113" s="114">
        <v>0</v>
      </c>
      <c r="E113" s="95">
        <f t="shared" si="16"/>
        <v>30000</v>
      </c>
      <c r="F113" s="92">
        <v>30000</v>
      </c>
      <c r="G113" s="30">
        <v>0</v>
      </c>
      <c r="H113" s="30">
        <v>0</v>
      </c>
      <c r="I113" s="40">
        <v>0</v>
      </c>
      <c r="J113" s="57"/>
    </row>
    <row r="114" spans="1:10" s="50" customFormat="1" ht="27" customHeight="1">
      <c r="A114" s="45"/>
      <c r="B114" s="61"/>
      <c r="C114" s="93" t="s">
        <v>194</v>
      </c>
      <c r="D114" s="114">
        <v>0</v>
      </c>
      <c r="E114" s="95">
        <f t="shared" si="16"/>
        <v>300051</v>
      </c>
      <c r="F114" s="92">
        <v>300051</v>
      </c>
      <c r="G114" s="30">
        <v>0</v>
      </c>
      <c r="H114" s="30">
        <v>0</v>
      </c>
      <c r="I114" s="30">
        <v>0</v>
      </c>
      <c r="J114" s="57"/>
    </row>
    <row r="115" spans="1:10" s="50" customFormat="1" ht="27" customHeight="1">
      <c r="A115" s="45"/>
      <c r="B115" s="61"/>
      <c r="C115" s="119" t="s">
        <v>213</v>
      </c>
      <c r="D115" s="120">
        <v>0</v>
      </c>
      <c r="E115" s="95">
        <f t="shared" si="16"/>
        <v>1710000</v>
      </c>
      <c r="F115" s="121">
        <v>1710000</v>
      </c>
      <c r="G115" s="82">
        <v>0</v>
      </c>
      <c r="H115" s="82">
        <v>0</v>
      </c>
      <c r="I115" s="82">
        <v>0</v>
      </c>
      <c r="J115" s="56"/>
    </row>
    <row r="116" spans="1:10" s="26" customFormat="1" ht="15.75" hidden="1" customHeight="1">
      <c r="A116" s="45"/>
      <c r="B116" s="76" t="s">
        <v>121</v>
      </c>
      <c r="C116" s="77" t="s">
        <v>122</v>
      </c>
      <c r="D116" s="48">
        <f t="shared" ref="D116:I116" si="17">SUM(D117:D118)</f>
        <v>0</v>
      </c>
      <c r="E116" s="48">
        <f t="shared" si="17"/>
        <v>0</v>
      </c>
      <c r="F116" s="48">
        <f t="shared" si="17"/>
        <v>0</v>
      </c>
      <c r="G116" s="48">
        <f t="shared" si="17"/>
        <v>0</v>
      </c>
      <c r="H116" s="48">
        <f t="shared" si="17"/>
        <v>0</v>
      </c>
      <c r="I116" s="48">
        <f t="shared" si="17"/>
        <v>0</v>
      </c>
      <c r="J116" s="48"/>
    </row>
    <row r="117" spans="1:10" ht="28.5" hidden="1" customHeight="1">
      <c r="A117" s="45"/>
      <c r="B117" s="84"/>
      <c r="C117" s="122"/>
      <c r="D117" s="80">
        <v>0</v>
      </c>
      <c r="E117" s="80">
        <f t="shared" ref="E117:E118" si="18">SUM(F117:I117)</f>
        <v>0</v>
      </c>
      <c r="F117" s="80">
        <v>0</v>
      </c>
      <c r="G117" s="53">
        <v>0</v>
      </c>
      <c r="H117" s="80"/>
      <c r="I117" s="53">
        <v>0</v>
      </c>
      <c r="J117" s="32" t="s">
        <v>22</v>
      </c>
    </row>
    <row r="118" spans="1:10" ht="27" hidden="1" customHeight="1">
      <c r="A118" s="45"/>
      <c r="B118" s="78"/>
      <c r="C118" s="123"/>
      <c r="D118" s="83">
        <v>0</v>
      </c>
      <c r="E118" s="83">
        <f t="shared" si="18"/>
        <v>0</v>
      </c>
      <c r="F118" s="83">
        <v>0</v>
      </c>
      <c r="G118" s="30">
        <v>0</v>
      </c>
      <c r="H118" s="83"/>
      <c r="I118" s="30">
        <v>0</v>
      </c>
      <c r="J118" s="34"/>
    </row>
    <row r="119" spans="1:10" ht="27" hidden="1" customHeight="1">
      <c r="A119" s="45"/>
      <c r="B119" s="78"/>
      <c r="C119" s="124"/>
      <c r="D119" s="125"/>
      <c r="E119" s="125"/>
      <c r="F119" s="125"/>
      <c r="G119" s="82"/>
      <c r="H119" s="125"/>
      <c r="I119" s="82"/>
      <c r="J119" s="126"/>
    </row>
    <row r="120" spans="1:10" s="26" customFormat="1" ht="15.75" customHeight="1">
      <c r="A120" s="45"/>
      <c r="B120" s="76" t="s">
        <v>35</v>
      </c>
      <c r="C120" s="77" t="s">
        <v>53</v>
      </c>
      <c r="D120" s="48">
        <f t="shared" ref="D120:I120" si="19">D121</f>
        <v>116217014</v>
      </c>
      <c r="E120" s="48">
        <f t="shared" si="19"/>
        <v>0</v>
      </c>
      <c r="F120" s="48">
        <f t="shared" si="19"/>
        <v>0</v>
      </c>
      <c r="G120" s="48">
        <f t="shared" si="19"/>
        <v>0</v>
      </c>
      <c r="H120" s="48">
        <f t="shared" si="19"/>
        <v>0</v>
      </c>
      <c r="I120" s="48">
        <f t="shared" si="19"/>
        <v>0</v>
      </c>
      <c r="J120" s="25"/>
    </row>
    <row r="121" spans="1:10" s="50" customFormat="1" ht="27" customHeight="1">
      <c r="A121" s="45"/>
      <c r="B121" s="45"/>
      <c r="C121" s="127" t="s">
        <v>110</v>
      </c>
      <c r="D121" s="128">
        <v>116217014</v>
      </c>
      <c r="E121" s="129">
        <f>SUM(F121:I121)</f>
        <v>0</v>
      </c>
      <c r="F121" s="129">
        <v>0</v>
      </c>
      <c r="G121" s="129">
        <v>0</v>
      </c>
      <c r="H121" s="129">
        <v>0</v>
      </c>
      <c r="I121" s="129">
        <v>0</v>
      </c>
      <c r="J121" s="130" t="s">
        <v>15</v>
      </c>
    </row>
    <row r="122" spans="1:10" s="26" customFormat="1" ht="15.75" customHeight="1">
      <c r="A122" s="45"/>
      <c r="B122" s="76" t="s">
        <v>36</v>
      </c>
      <c r="C122" s="77" t="s">
        <v>54</v>
      </c>
      <c r="D122" s="48">
        <f t="shared" ref="D122:I122" si="20">SUM(D123:D123)</f>
        <v>0</v>
      </c>
      <c r="E122" s="48">
        <f t="shared" si="20"/>
        <v>60000</v>
      </c>
      <c r="F122" s="48">
        <f t="shared" si="20"/>
        <v>60000</v>
      </c>
      <c r="G122" s="48">
        <f t="shared" si="20"/>
        <v>0</v>
      </c>
      <c r="H122" s="48">
        <f t="shared" si="20"/>
        <v>0</v>
      </c>
      <c r="I122" s="48">
        <f t="shared" si="20"/>
        <v>0</v>
      </c>
      <c r="J122" s="25"/>
    </row>
    <row r="123" spans="1:10" s="134" customFormat="1" ht="14.25" customHeight="1">
      <c r="A123" s="131"/>
      <c r="B123" s="131"/>
      <c r="C123" s="52" t="s">
        <v>156</v>
      </c>
      <c r="D123" s="132">
        <v>0</v>
      </c>
      <c r="E123" s="132">
        <f>SUM(F123:I123)</f>
        <v>60000</v>
      </c>
      <c r="F123" s="132">
        <v>60000</v>
      </c>
      <c r="G123" s="132">
        <v>0</v>
      </c>
      <c r="H123" s="132">
        <v>0</v>
      </c>
      <c r="I123" s="132">
        <v>0</v>
      </c>
      <c r="J123" s="133" t="s">
        <v>15</v>
      </c>
    </row>
    <row r="124" spans="1:10" s="20" customFormat="1" ht="14.25" customHeight="1">
      <c r="A124" s="16" t="s">
        <v>77</v>
      </c>
      <c r="B124" s="16"/>
      <c r="C124" s="17" t="s">
        <v>79</v>
      </c>
      <c r="D124" s="18">
        <f t="shared" ref="D124:I124" si="21">D125</f>
        <v>34638055</v>
      </c>
      <c r="E124" s="18">
        <f t="shared" si="21"/>
        <v>0</v>
      </c>
      <c r="F124" s="18">
        <f t="shared" si="21"/>
        <v>0</v>
      </c>
      <c r="G124" s="18">
        <f t="shared" si="21"/>
        <v>0</v>
      </c>
      <c r="H124" s="18">
        <f t="shared" si="21"/>
        <v>0</v>
      </c>
      <c r="I124" s="18">
        <f t="shared" si="21"/>
        <v>0</v>
      </c>
      <c r="J124" s="19"/>
    </row>
    <row r="125" spans="1:10" s="26" customFormat="1" ht="15.75" customHeight="1">
      <c r="A125" s="21"/>
      <c r="B125" s="76" t="s">
        <v>78</v>
      </c>
      <c r="C125" s="77" t="s">
        <v>80</v>
      </c>
      <c r="D125" s="48">
        <f t="shared" ref="D125:I125" si="22">SUM(D126:D126)</f>
        <v>34638055</v>
      </c>
      <c r="E125" s="48">
        <f t="shared" si="22"/>
        <v>0</v>
      </c>
      <c r="F125" s="48">
        <f t="shared" si="22"/>
        <v>0</v>
      </c>
      <c r="G125" s="48">
        <f t="shared" si="22"/>
        <v>0</v>
      </c>
      <c r="H125" s="48">
        <f t="shared" si="22"/>
        <v>0</v>
      </c>
      <c r="I125" s="48">
        <f t="shared" si="22"/>
        <v>0</v>
      </c>
      <c r="J125" s="25"/>
    </row>
    <row r="126" spans="1:10" ht="30" customHeight="1">
      <c r="A126" s="67"/>
      <c r="B126" s="67"/>
      <c r="C126" s="135" t="s">
        <v>81</v>
      </c>
      <c r="D126" s="36">
        <v>34638055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130" t="s">
        <v>15</v>
      </c>
    </row>
    <row r="127" spans="1:10" s="20" customFormat="1" ht="14.25" customHeight="1">
      <c r="A127" s="16" t="s">
        <v>37</v>
      </c>
      <c r="B127" s="16"/>
      <c r="C127" s="17" t="s">
        <v>55</v>
      </c>
      <c r="D127" s="18">
        <f t="shared" ref="D127:I127" si="23">D128</f>
        <v>0</v>
      </c>
      <c r="E127" s="18">
        <f t="shared" si="23"/>
        <v>50000</v>
      </c>
      <c r="F127" s="18">
        <f t="shared" si="23"/>
        <v>50000</v>
      </c>
      <c r="G127" s="18">
        <f t="shared" si="23"/>
        <v>0</v>
      </c>
      <c r="H127" s="18">
        <f t="shared" si="23"/>
        <v>0</v>
      </c>
      <c r="I127" s="18">
        <f t="shared" si="23"/>
        <v>0</v>
      </c>
      <c r="J127" s="19"/>
    </row>
    <row r="128" spans="1:10" s="26" customFormat="1" ht="15.75" customHeight="1">
      <c r="A128" s="21"/>
      <c r="B128" s="76" t="s">
        <v>38</v>
      </c>
      <c r="C128" s="77" t="s">
        <v>56</v>
      </c>
      <c r="D128" s="48">
        <f t="shared" ref="D128:I128" si="24">SUM(D129:D129)</f>
        <v>0</v>
      </c>
      <c r="E128" s="48">
        <f t="shared" si="24"/>
        <v>50000</v>
      </c>
      <c r="F128" s="48">
        <f t="shared" si="24"/>
        <v>50000</v>
      </c>
      <c r="G128" s="48">
        <f t="shared" si="24"/>
        <v>0</v>
      </c>
      <c r="H128" s="48">
        <f t="shared" si="24"/>
        <v>0</v>
      </c>
      <c r="I128" s="48">
        <f t="shared" si="24"/>
        <v>0</v>
      </c>
      <c r="J128" s="25"/>
    </row>
    <row r="129" spans="1:10" ht="16.5" customHeight="1">
      <c r="A129" s="67"/>
      <c r="B129" s="67"/>
      <c r="C129" s="136" t="s">
        <v>34</v>
      </c>
      <c r="D129" s="36">
        <v>0</v>
      </c>
      <c r="E129" s="36">
        <f>SUM(F129:I129)</f>
        <v>50000</v>
      </c>
      <c r="F129" s="36">
        <v>50000</v>
      </c>
      <c r="G129" s="36">
        <v>0</v>
      </c>
      <c r="H129" s="36">
        <v>0</v>
      </c>
      <c r="I129" s="36">
        <v>0</v>
      </c>
      <c r="J129" s="130" t="s">
        <v>15</v>
      </c>
    </row>
    <row r="130" spans="1:10" s="20" customFormat="1" ht="14.25" customHeight="1">
      <c r="A130" s="16" t="s">
        <v>125</v>
      </c>
      <c r="B130" s="16"/>
      <c r="C130" s="17" t="s">
        <v>128</v>
      </c>
      <c r="D130" s="137">
        <f>D131</f>
        <v>0</v>
      </c>
      <c r="E130" s="137">
        <f t="shared" ref="E130:I130" si="25">E131</f>
        <v>15000</v>
      </c>
      <c r="F130" s="137">
        <f t="shared" si="25"/>
        <v>15000</v>
      </c>
      <c r="G130" s="137">
        <f t="shared" si="25"/>
        <v>0</v>
      </c>
      <c r="H130" s="137">
        <f t="shared" si="25"/>
        <v>0</v>
      </c>
      <c r="I130" s="137">
        <f t="shared" si="25"/>
        <v>0</v>
      </c>
      <c r="J130" s="19"/>
    </row>
    <row r="131" spans="1:10" s="26" customFormat="1" ht="15.75" customHeight="1">
      <c r="A131" s="21"/>
      <c r="B131" s="46" t="s">
        <v>126</v>
      </c>
      <c r="C131" s="47" t="s">
        <v>127</v>
      </c>
      <c r="D131" s="48">
        <f t="shared" ref="D131:I131" si="26">SUM(D132)</f>
        <v>0</v>
      </c>
      <c r="E131" s="48">
        <f t="shared" si="26"/>
        <v>15000</v>
      </c>
      <c r="F131" s="48">
        <f t="shared" si="26"/>
        <v>15000</v>
      </c>
      <c r="G131" s="48">
        <f t="shared" si="26"/>
        <v>0</v>
      </c>
      <c r="H131" s="48">
        <f t="shared" si="26"/>
        <v>0</v>
      </c>
      <c r="I131" s="48">
        <f t="shared" si="26"/>
        <v>0</v>
      </c>
      <c r="J131" s="25"/>
    </row>
    <row r="132" spans="1:10" s="33" customFormat="1" ht="29.25" customHeight="1">
      <c r="A132" s="27"/>
      <c r="B132" s="138"/>
      <c r="C132" s="68" t="s">
        <v>153</v>
      </c>
      <c r="D132" s="69"/>
      <c r="E132" s="69">
        <f>SUM(F132:I132)</f>
        <v>15000</v>
      </c>
      <c r="F132" s="69">
        <v>15000</v>
      </c>
      <c r="G132" s="69">
        <v>0</v>
      </c>
      <c r="H132" s="69">
        <v>0</v>
      </c>
      <c r="I132" s="69">
        <v>0</v>
      </c>
      <c r="J132" s="139" t="s">
        <v>15</v>
      </c>
    </row>
    <row r="133" spans="1:10" s="20" customFormat="1" ht="14.25" customHeight="1">
      <c r="A133" s="16" t="s">
        <v>39</v>
      </c>
      <c r="B133" s="16"/>
      <c r="C133" s="17" t="s">
        <v>57</v>
      </c>
      <c r="D133" s="137">
        <f>D136+D138+D144+D146+D134</f>
        <v>360000</v>
      </c>
      <c r="E133" s="137">
        <f t="shared" ref="E133:I133" si="27">E136+E138+E144+E146+E134</f>
        <v>2720000</v>
      </c>
      <c r="F133" s="137">
        <f t="shared" si="27"/>
        <v>2720000</v>
      </c>
      <c r="G133" s="137">
        <f t="shared" si="27"/>
        <v>0</v>
      </c>
      <c r="H133" s="137">
        <f t="shared" si="27"/>
        <v>0</v>
      </c>
      <c r="I133" s="137">
        <f t="shared" si="27"/>
        <v>0</v>
      </c>
      <c r="J133" s="19"/>
    </row>
    <row r="134" spans="1:10" s="26" customFormat="1" ht="15.75" customHeight="1">
      <c r="A134" s="21"/>
      <c r="B134" s="46" t="s">
        <v>215</v>
      </c>
      <c r="C134" s="47" t="s">
        <v>216</v>
      </c>
      <c r="D134" s="48">
        <f t="shared" ref="D134:I134" si="28">SUM(D135)</f>
        <v>30000</v>
      </c>
      <c r="E134" s="48">
        <f t="shared" si="28"/>
        <v>0</v>
      </c>
      <c r="F134" s="48">
        <f t="shared" si="28"/>
        <v>0</v>
      </c>
      <c r="G134" s="48">
        <f t="shared" si="28"/>
        <v>0</v>
      </c>
      <c r="H134" s="48">
        <f t="shared" si="28"/>
        <v>0</v>
      </c>
      <c r="I134" s="48">
        <f t="shared" si="28"/>
        <v>0</v>
      </c>
      <c r="J134" s="25"/>
    </row>
    <row r="135" spans="1:10" ht="14.25" customHeight="1">
      <c r="A135" s="45"/>
      <c r="B135" s="138"/>
      <c r="C135" s="68" t="s">
        <v>217</v>
      </c>
      <c r="D135" s="69">
        <f>25500+4500</f>
        <v>30000</v>
      </c>
      <c r="E135" s="69">
        <f>SUM(F135:I135)</f>
        <v>0</v>
      </c>
      <c r="F135" s="69">
        <v>0</v>
      </c>
      <c r="G135" s="69">
        <v>0</v>
      </c>
      <c r="H135" s="69">
        <v>0</v>
      </c>
      <c r="I135" s="69">
        <v>0</v>
      </c>
      <c r="J135" s="139" t="s">
        <v>15</v>
      </c>
    </row>
    <row r="136" spans="1:10" s="26" customFormat="1" ht="15.75" customHeight="1">
      <c r="A136" s="45"/>
      <c r="B136" s="46" t="s">
        <v>41</v>
      </c>
      <c r="C136" s="47" t="s">
        <v>58</v>
      </c>
      <c r="D136" s="48">
        <f t="shared" ref="D136:I136" si="29">SUM(D137)</f>
        <v>0</v>
      </c>
      <c r="E136" s="48">
        <f t="shared" si="29"/>
        <v>10000</v>
      </c>
      <c r="F136" s="48">
        <f t="shared" si="29"/>
        <v>10000</v>
      </c>
      <c r="G136" s="48">
        <f t="shared" si="29"/>
        <v>0</v>
      </c>
      <c r="H136" s="48">
        <f t="shared" si="29"/>
        <v>0</v>
      </c>
      <c r="I136" s="48">
        <f t="shared" si="29"/>
        <v>0</v>
      </c>
      <c r="J136" s="25"/>
    </row>
    <row r="137" spans="1:10" ht="14.25" customHeight="1">
      <c r="A137" s="45"/>
      <c r="B137" s="140"/>
      <c r="C137" s="141" t="s">
        <v>14</v>
      </c>
      <c r="D137" s="70">
        <v>0</v>
      </c>
      <c r="E137" s="69">
        <f>SUM(F137:I137)</f>
        <v>10000</v>
      </c>
      <c r="F137" s="69">
        <f>30000-20000</f>
        <v>10000</v>
      </c>
      <c r="G137" s="70">
        <v>0</v>
      </c>
      <c r="H137" s="70">
        <v>0</v>
      </c>
      <c r="I137" s="70">
        <v>0</v>
      </c>
      <c r="J137" s="71" t="s">
        <v>15</v>
      </c>
    </row>
    <row r="138" spans="1:10" s="26" customFormat="1" ht="15.75" customHeight="1">
      <c r="A138" s="45"/>
      <c r="B138" s="62" t="s">
        <v>40</v>
      </c>
      <c r="C138" s="63" t="s">
        <v>59</v>
      </c>
      <c r="D138" s="64">
        <f t="shared" ref="D138" si="30">SUM(D139:D143)</f>
        <v>330000</v>
      </c>
      <c r="E138" s="64">
        <f>SUM(E139:E143)</f>
        <v>2710000</v>
      </c>
      <c r="F138" s="64">
        <f>SUM(F139:F143)</f>
        <v>2710000</v>
      </c>
      <c r="G138" s="64">
        <f>SUM(G139:G143)</f>
        <v>0</v>
      </c>
      <c r="H138" s="64">
        <f>SUM(H139:H143)</f>
        <v>0</v>
      </c>
      <c r="I138" s="64">
        <f>SUM(I139:I143)</f>
        <v>0</v>
      </c>
      <c r="J138" s="142"/>
    </row>
    <row r="139" spans="1:10" ht="38.25">
      <c r="A139" s="45"/>
      <c r="B139" s="78"/>
      <c r="C139" s="143" t="s">
        <v>155</v>
      </c>
      <c r="D139" s="53">
        <v>0</v>
      </c>
      <c r="E139" s="30">
        <f t="shared" ref="E139:E143" si="31">SUM(F139:I139)</f>
        <v>2000000</v>
      </c>
      <c r="F139" s="53">
        <v>2000000</v>
      </c>
      <c r="G139" s="53">
        <v>0</v>
      </c>
      <c r="H139" s="53">
        <v>0</v>
      </c>
      <c r="I139" s="53">
        <v>0</v>
      </c>
      <c r="J139" s="32" t="s">
        <v>15</v>
      </c>
    </row>
    <row r="140" spans="1:10" s="50" customFormat="1" ht="14.25" customHeight="1">
      <c r="A140" s="61"/>
      <c r="B140" s="61"/>
      <c r="C140" s="58" t="s">
        <v>34</v>
      </c>
      <c r="D140" s="144">
        <v>0</v>
      </c>
      <c r="E140" s="144">
        <f t="shared" si="31"/>
        <v>410000</v>
      </c>
      <c r="F140" s="144">
        <f>400000+10000</f>
        <v>410000</v>
      </c>
      <c r="G140" s="144">
        <v>0</v>
      </c>
      <c r="H140" s="144">
        <v>0</v>
      </c>
      <c r="I140" s="144">
        <v>0</v>
      </c>
      <c r="J140" s="57"/>
    </row>
    <row r="141" spans="1:10" s="50" customFormat="1" ht="14.25" customHeight="1">
      <c r="A141" s="61"/>
      <c r="B141" s="61"/>
      <c r="C141" s="58" t="s">
        <v>82</v>
      </c>
      <c r="D141" s="144">
        <v>0</v>
      </c>
      <c r="E141" s="144">
        <f t="shared" si="31"/>
        <v>250000</v>
      </c>
      <c r="F141" s="144">
        <v>250000</v>
      </c>
      <c r="G141" s="144">
        <v>0</v>
      </c>
      <c r="H141" s="144">
        <v>0</v>
      </c>
      <c r="I141" s="144">
        <v>0</v>
      </c>
      <c r="J141" s="57"/>
    </row>
    <row r="142" spans="1:10" s="50" customFormat="1" ht="39.75" customHeight="1">
      <c r="A142" s="61"/>
      <c r="B142" s="61"/>
      <c r="C142" s="58" t="s">
        <v>154</v>
      </c>
      <c r="D142" s="30">
        <v>0</v>
      </c>
      <c r="E142" s="30">
        <f t="shared" ref="E142" si="32">SUM(F142:I142)</f>
        <v>50000</v>
      </c>
      <c r="F142" s="30">
        <v>50000</v>
      </c>
      <c r="G142" s="30">
        <v>0</v>
      </c>
      <c r="H142" s="30">
        <v>0</v>
      </c>
      <c r="I142" s="30">
        <v>0</v>
      </c>
      <c r="J142" s="57"/>
    </row>
    <row r="143" spans="1:10" s="50" customFormat="1" ht="14.25" customHeight="1">
      <c r="A143" s="61"/>
      <c r="B143" s="61"/>
      <c r="C143" s="58" t="s">
        <v>69</v>
      </c>
      <c r="D143" s="144">
        <v>330000</v>
      </c>
      <c r="E143" s="144">
        <f t="shared" si="31"/>
        <v>0</v>
      </c>
      <c r="F143" s="144">
        <v>0</v>
      </c>
      <c r="G143" s="144">
        <v>0</v>
      </c>
      <c r="H143" s="144">
        <v>0</v>
      </c>
      <c r="I143" s="144">
        <v>0</v>
      </c>
      <c r="J143" s="57"/>
    </row>
    <row r="144" spans="1:10" s="26" customFormat="1" ht="15.75" hidden="1" customHeight="1">
      <c r="A144" s="45"/>
      <c r="B144" s="46" t="s">
        <v>83</v>
      </c>
      <c r="C144" s="47" t="s">
        <v>84</v>
      </c>
      <c r="D144" s="48">
        <f t="shared" ref="D144:I144" si="33">SUM(D145)</f>
        <v>0</v>
      </c>
      <c r="E144" s="48">
        <f t="shared" si="33"/>
        <v>0</v>
      </c>
      <c r="F144" s="48">
        <f t="shared" si="33"/>
        <v>0</v>
      </c>
      <c r="G144" s="48">
        <f t="shared" si="33"/>
        <v>0</v>
      </c>
      <c r="H144" s="48">
        <f t="shared" si="33"/>
        <v>0</v>
      </c>
      <c r="I144" s="48">
        <f t="shared" si="33"/>
        <v>0</v>
      </c>
      <c r="J144" s="25"/>
    </row>
    <row r="145" spans="1:10" s="151" customFormat="1" ht="14.25" hidden="1" customHeight="1">
      <c r="A145" s="145"/>
      <c r="B145" s="146"/>
      <c r="C145" s="147"/>
      <c r="D145" s="148">
        <v>0</v>
      </c>
      <c r="E145" s="149">
        <f>SUM(F145:I145)</f>
        <v>0</v>
      </c>
      <c r="F145" s="148">
        <f>7000-7000</f>
        <v>0</v>
      </c>
      <c r="G145" s="148">
        <v>0</v>
      </c>
      <c r="H145" s="148">
        <v>0</v>
      </c>
      <c r="I145" s="148">
        <v>0</v>
      </c>
      <c r="J145" s="150" t="s">
        <v>15</v>
      </c>
    </row>
    <row r="146" spans="1:10" s="26" customFormat="1" ht="15.75" hidden="1" customHeight="1">
      <c r="A146" s="45"/>
      <c r="B146" s="46" t="s">
        <v>42</v>
      </c>
      <c r="C146" s="47" t="s">
        <v>54</v>
      </c>
      <c r="D146" s="48">
        <f t="shared" ref="D146:I146" si="34">SUM(D147:D147)</f>
        <v>0</v>
      </c>
      <c r="E146" s="48">
        <f t="shared" si="34"/>
        <v>0</v>
      </c>
      <c r="F146" s="48">
        <f t="shared" si="34"/>
        <v>0</v>
      </c>
      <c r="G146" s="48">
        <f t="shared" si="34"/>
        <v>0</v>
      </c>
      <c r="H146" s="48">
        <f t="shared" si="34"/>
        <v>0</v>
      </c>
      <c r="I146" s="48">
        <f t="shared" si="34"/>
        <v>0</v>
      </c>
      <c r="J146" s="25"/>
    </row>
    <row r="147" spans="1:10" s="151" customFormat="1" ht="28.5" hidden="1" customHeight="1">
      <c r="A147" s="146"/>
      <c r="B147" s="146"/>
      <c r="C147" s="152"/>
      <c r="D147" s="148"/>
      <c r="E147" s="148">
        <v>0</v>
      </c>
      <c r="F147" s="148">
        <v>0</v>
      </c>
      <c r="G147" s="148">
        <v>0</v>
      </c>
      <c r="H147" s="148">
        <v>0</v>
      </c>
      <c r="I147" s="148">
        <v>0</v>
      </c>
      <c r="J147" s="150" t="s">
        <v>15</v>
      </c>
    </row>
    <row r="148" spans="1:10" s="20" customFormat="1" ht="14.25" hidden="1" customHeight="1">
      <c r="A148" s="16" t="s">
        <v>115</v>
      </c>
      <c r="B148" s="16"/>
      <c r="C148" s="17" t="s">
        <v>117</v>
      </c>
      <c r="D148" s="18">
        <f>D149</f>
        <v>0</v>
      </c>
      <c r="E148" s="18">
        <f t="shared" ref="E148:I148" si="35">E149</f>
        <v>0</v>
      </c>
      <c r="F148" s="18">
        <f t="shared" si="35"/>
        <v>0</v>
      </c>
      <c r="G148" s="18">
        <f t="shared" si="35"/>
        <v>0</v>
      </c>
      <c r="H148" s="18">
        <f t="shared" si="35"/>
        <v>0</v>
      </c>
      <c r="I148" s="18">
        <f t="shared" si="35"/>
        <v>0</v>
      </c>
      <c r="J148" s="19"/>
    </row>
    <row r="149" spans="1:10" s="26" customFormat="1" ht="15.75" hidden="1" customHeight="1">
      <c r="A149" s="21"/>
      <c r="B149" s="46" t="s">
        <v>116</v>
      </c>
      <c r="C149" s="77" t="s">
        <v>118</v>
      </c>
      <c r="D149" s="48">
        <f>SUM(D150:D151)</f>
        <v>0</v>
      </c>
      <c r="E149" s="48">
        <f>SUM(E150:E151)</f>
        <v>0</v>
      </c>
      <c r="F149" s="48">
        <f t="shared" ref="F149:I149" si="36">SUM(F150:F151)</f>
        <v>0</v>
      </c>
      <c r="G149" s="48">
        <f t="shared" si="36"/>
        <v>0</v>
      </c>
      <c r="H149" s="48">
        <f t="shared" si="36"/>
        <v>0</v>
      </c>
      <c r="I149" s="48">
        <f t="shared" si="36"/>
        <v>0</v>
      </c>
      <c r="J149" s="25"/>
    </row>
    <row r="150" spans="1:10" s="151" customFormat="1" ht="42" hidden="1" customHeight="1">
      <c r="A150" s="131"/>
      <c r="B150" s="153"/>
      <c r="C150" s="152" t="s">
        <v>119</v>
      </c>
      <c r="D150" s="148">
        <v>0</v>
      </c>
      <c r="E150" s="148">
        <f>SUM(F150:I150)</f>
        <v>0</v>
      </c>
      <c r="F150" s="148"/>
      <c r="G150" s="148">
        <v>0</v>
      </c>
      <c r="H150" s="148">
        <v>0</v>
      </c>
      <c r="I150" s="148">
        <v>0</v>
      </c>
      <c r="J150" s="150" t="s">
        <v>99</v>
      </c>
    </row>
    <row r="151" spans="1:10" s="151" customFormat="1" ht="45" hidden="1" customHeight="1">
      <c r="A151" s="154"/>
      <c r="B151" s="155"/>
      <c r="C151" s="156" t="s">
        <v>120</v>
      </c>
      <c r="D151" s="157">
        <v>0</v>
      </c>
      <c r="E151" s="157">
        <f>SUM(F151:I151)</f>
        <v>0</v>
      </c>
      <c r="F151" s="157"/>
      <c r="G151" s="157">
        <v>0</v>
      </c>
      <c r="H151" s="157">
        <v>0</v>
      </c>
      <c r="I151" s="157">
        <v>0</v>
      </c>
      <c r="J151" s="158" t="s">
        <v>100</v>
      </c>
    </row>
    <row r="152" spans="1:10" s="20" customFormat="1" ht="14.25" customHeight="1">
      <c r="A152" s="16" t="s">
        <v>115</v>
      </c>
      <c r="B152" s="16"/>
      <c r="C152" s="17" t="s">
        <v>117</v>
      </c>
      <c r="D152" s="18">
        <f t="shared" ref="D152:I152" si="37">D153</f>
        <v>0</v>
      </c>
      <c r="E152" s="18">
        <f t="shared" si="37"/>
        <v>158000</v>
      </c>
      <c r="F152" s="18">
        <f t="shared" si="37"/>
        <v>158000</v>
      </c>
      <c r="G152" s="18">
        <f t="shared" si="37"/>
        <v>0</v>
      </c>
      <c r="H152" s="18">
        <f t="shared" si="37"/>
        <v>0</v>
      </c>
      <c r="I152" s="18">
        <f t="shared" si="37"/>
        <v>0</v>
      </c>
      <c r="J152" s="19"/>
    </row>
    <row r="153" spans="1:10" s="26" customFormat="1" ht="15.75" customHeight="1">
      <c r="A153" s="21"/>
      <c r="B153" s="76" t="s">
        <v>116</v>
      </c>
      <c r="C153" s="77" t="s">
        <v>118</v>
      </c>
      <c r="D153" s="48">
        <f t="shared" ref="D153:E153" si="38">SUM(D154:D156)</f>
        <v>0</v>
      </c>
      <c r="E153" s="48">
        <f t="shared" si="38"/>
        <v>158000</v>
      </c>
      <c r="F153" s="48">
        <f>SUM(F154:F156)</f>
        <v>158000</v>
      </c>
      <c r="G153" s="48">
        <f t="shared" ref="G153:I153" si="39">SUM(G154:G156)</f>
        <v>0</v>
      </c>
      <c r="H153" s="48">
        <f t="shared" si="39"/>
        <v>0</v>
      </c>
      <c r="I153" s="48">
        <f t="shared" si="39"/>
        <v>0</v>
      </c>
      <c r="J153" s="25"/>
    </row>
    <row r="154" spans="1:10" s="160" customFormat="1" ht="24.75" customHeight="1">
      <c r="A154" s="159"/>
      <c r="B154" s="159"/>
      <c r="C154" s="136" t="s">
        <v>192</v>
      </c>
      <c r="D154" s="36">
        <v>0</v>
      </c>
      <c r="E154" s="36">
        <f>SUM(F154:I154)</f>
        <v>85000</v>
      </c>
      <c r="F154" s="36">
        <v>85000</v>
      </c>
      <c r="G154" s="36">
        <v>0</v>
      </c>
      <c r="H154" s="36">
        <v>0</v>
      </c>
      <c r="I154" s="36">
        <v>0</v>
      </c>
      <c r="J154" s="32" t="s">
        <v>100</v>
      </c>
    </row>
    <row r="155" spans="1:10" s="160" customFormat="1" ht="24" customHeight="1">
      <c r="A155" s="159"/>
      <c r="B155" s="159"/>
      <c r="C155" s="136" t="s">
        <v>196</v>
      </c>
      <c r="D155" s="36">
        <v>0</v>
      </c>
      <c r="E155" s="36">
        <f>SUM(F155:I155)</f>
        <v>15000</v>
      </c>
      <c r="F155" s="36">
        <v>15000</v>
      </c>
      <c r="G155" s="36">
        <v>0</v>
      </c>
      <c r="H155" s="36">
        <v>0</v>
      </c>
      <c r="I155" s="36">
        <v>0</v>
      </c>
      <c r="J155" s="56"/>
    </row>
    <row r="156" spans="1:10" s="160" customFormat="1" ht="45.75" customHeight="1">
      <c r="A156" s="159"/>
      <c r="B156" s="159"/>
      <c r="C156" s="136" t="s">
        <v>193</v>
      </c>
      <c r="D156" s="36">
        <v>0</v>
      </c>
      <c r="E156" s="36">
        <f>SUM(F156:I156)</f>
        <v>58000</v>
      </c>
      <c r="F156" s="36">
        <v>58000</v>
      </c>
      <c r="G156" s="36">
        <v>0</v>
      </c>
      <c r="H156" s="36">
        <v>0</v>
      </c>
      <c r="I156" s="36">
        <v>0</v>
      </c>
      <c r="J156" s="133" t="s">
        <v>99</v>
      </c>
    </row>
    <row r="157" spans="1:10" s="20" customFormat="1" ht="14.25" customHeight="1">
      <c r="A157" s="16" t="s">
        <v>85</v>
      </c>
      <c r="B157" s="16"/>
      <c r="C157" s="17" t="s">
        <v>90</v>
      </c>
      <c r="D157" s="18">
        <f t="shared" ref="D157:I157" si="40">D158+D160+D163+D165</f>
        <v>550100</v>
      </c>
      <c r="E157" s="18">
        <f t="shared" si="40"/>
        <v>1546000</v>
      </c>
      <c r="F157" s="18">
        <f t="shared" si="40"/>
        <v>1546000</v>
      </c>
      <c r="G157" s="18">
        <f t="shared" si="40"/>
        <v>0</v>
      </c>
      <c r="H157" s="18">
        <f t="shared" si="40"/>
        <v>0</v>
      </c>
      <c r="I157" s="18">
        <f t="shared" si="40"/>
        <v>0</v>
      </c>
      <c r="J157" s="19"/>
    </row>
    <row r="158" spans="1:10" s="26" customFormat="1" ht="15.75" customHeight="1">
      <c r="A158" s="21"/>
      <c r="B158" s="46" t="s">
        <v>86</v>
      </c>
      <c r="C158" s="77" t="s">
        <v>91</v>
      </c>
      <c r="D158" s="48">
        <f t="shared" ref="D158:I158" si="41">SUM(D159:D159)</f>
        <v>100</v>
      </c>
      <c r="E158" s="48">
        <f t="shared" si="41"/>
        <v>0</v>
      </c>
      <c r="F158" s="48">
        <f t="shared" si="41"/>
        <v>0</v>
      </c>
      <c r="G158" s="48">
        <f t="shared" si="41"/>
        <v>0</v>
      </c>
      <c r="H158" s="48">
        <f t="shared" si="41"/>
        <v>0</v>
      </c>
      <c r="I158" s="48">
        <f t="shared" si="41"/>
        <v>0</v>
      </c>
      <c r="J158" s="25"/>
    </row>
    <row r="159" spans="1:10" ht="48" customHeight="1">
      <c r="A159" s="45"/>
      <c r="B159" s="138"/>
      <c r="C159" s="35" t="s">
        <v>188</v>
      </c>
      <c r="D159" s="75">
        <f>254591-254491</f>
        <v>100</v>
      </c>
      <c r="E159" s="75">
        <f>SUM(F159:I159)</f>
        <v>0</v>
      </c>
      <c r="F159" s="75">
        <v>0</v>
      </c>
      <c r="G159" s="75">
        <v>0</v>
      </c>
      <c r="H159" s="75">
        <v>0</v>
      </c>
      <c r="I159" s="75">
        <v>0</v>
      </c>
      <c r="J159" s="133" t="s">
        <v>94</v>
      </c>
    </row>
    <row r="160" spans="1:10" s="26" customFormat="1" ht="15.75" customHeight="1">
      <c r="A160" s="45"/>
      <c r="B160" s="46" t="s">
        <v>87</v>
      </c>
      <c r="C160" s="47" t="s">
        <v>92</v>
      </c>
      <c r="D160" s="48">
        <f>SUM(D161:D162)</f>
        <v>0</v>
      </c>
      <c r="E160" s="48">
        <f t="shared" ref="E160:I160" si="42">SUM(E161:E162)</f>
        <v>1546000</v>
      </c>
      <c r="F160" s="48">
        <f t="shared" si="42"/>
        <v>1546000</v>
      </c>
      <c r="G160" s="48">
        <f t="shared" si="42"/>
        <v>0</v>
      </c>
      <c r="H160" s="48">
        <f t="shared" si="42"/>
        <v>0</v>
      </c>
      <c r="I160" s="48">
        <f t="shared" si="42"/>
        <v>0</v>
      </c>
      <c r="J160" s="25"/>
    </row>
    <row r="161" spans="1:10" s="26" customFormat="1" ht="39.75" customHeight="1">
      <c r="A161" s="45"/>
      <c r="B161" s="103"/>
      <c r="C161" s="161" t="s">
        <v>148</v>
      </c>
      <c r="D161" s="162">
        <f>10800+1200-10800-1200</f>
        <v>0</v>
      </c>
      <c r="E161" s="70">
        <f>SUM(F161:I161)</f>
        <v>1530900</v>
      </c>
      <c r="F161" s="69">
        <v>1530900</v>
      </c>
      <c r="G161" s="70">
        <v>0</v>
      </c>
      <c r="H161" s="70">
        <v>0</v>
      </c>
      <c r="I161" s="70">
        <v>0</v>
      </c>
      <c r="J161" s="139" t="s">
        <v>149</v>
      </c>
    </row>
    <row r="162" spans="1:10" s="50" customFormat="1" ht="18.75" customHeight="1">
      <c r="A162" s="61"/>
      <c r="B162" s="98"/>
      <c r="C162" s="161" t="s">
        <v>147</v>
      </c>
      <c r="D162" s="163">
        <f>10800+1200-10800-1200</f>
        <v>0</v>
      </c>
      <c r="E162" s="129">
        <f>SUM(F162:I162)</f>
        <v>15100</v>
      </c>
      <c r="F162" s="128">
        <v>15100</v>
      </c>
      <c r="G162" s="129">
        <v>0</v>
      </c>
      <c r="H162" s="129">
        <v>0</v>
      </c>
      <c r="I162" s="129">
        <v>0</v>
      </c>
      <c r="J162" s="139" t="s">
        <v>93</v>
      </c>
    </row>
    <row r="163" spans="1:10" s="50" customFormat="1" ht="16.5" hidden="1" customHeight="1">
      <c r="A163" s="45"/>
      <c r="B163" s="62" t="s">
        <v>88</v>
      </c>
      <c r="C163" s="63" t="s">
        <v>95</v>
      </c>
      <c r="D163" s="64">
        <f t="shared" ref="D163" si="43">SUM(D164)</f>
        <v>0</v>
      </c>
      <c r="E163" s="64">
        <f t="shared" ref="E163" si="44">SUM(E164)</f>
        <v>0</v>
      </c>
      <c r="F163" s="64">
        <f t="shared" ref="F163" si="45">SUM(F164)</f>
        <v>0</v>
      </c>
      <c r="G163" s="64">
        <f t="shared" ref="G163" si="46">SUM(G164)</f>
        <v>0</v>
      </c>
      <c r="H163" s="64">
        <f t="shared" ref="H163" si="47">SUM(H164)</f>
        <v>0</v>
      </c>
      <c r="I163" s="64">
        <f t="shared" ref="I163" si="48">SUM(I164)</f>
        <v>0</v>
      </c>
      <c r="J163" s="142"/>
    </row>
    <row r="164" spans="1:10" s="166" customFormat="1" ht="44.25" hidden="1" customHeight="1">
      <c r="A164" s="164"/>
      <c r="B164" s="165"/>
      <c r="C164" s="147" t="s">
        <v>96</v>
      </c>
      <c r="D164" s="148">
        <v>0</v>
      </c>
      <c r="E164" s="157">
        <f>SUM(F164:I164)</f>
        <v>0</v>
      </c>
      <c r="F164" s="148">
        <v>0</v>
      </c>
      <c r="G164" s="148">
        <v>0</v>
      </c>
      <c r="H164" s="148">
        <v>0</v>
      </c>
      <c r="I164" s="148">
        <v>0</v>
      </c>
      <c r="J164" s="150" t="s">
        <v>97</v>
      </c>
    </row>
    <row r="165" spans="1:10" s="50" customFormat="1" ht="16.5" customHeight="1">
      <c r="A165" s="45"/>
      <c r="B165" s="62" t="s">
        <v>89</v>
      </c>
      <c r="C165" s="63" t="s">
        <v>98</v>
      </c>
      <c r="D165" s="64">
        <f t="shared" ref="D165" si="49">SUM(D166)</f>
        <v>550000</v>
      </c>
      <c r="E165" s="64">
        <f t="shared" ref="E165" si="50">SUM(E166)</f>
        <v>0</v>
      </c>
      <c r="F165" s="64">
        <f t="shared" ref="F165" si="51">SUM(F166)</f>
        <v>0</v>
      </c>
      <c r="G165" s="64">
        <f t="shared" ref="G165" si="52">SUM(G166)</f>
        <v>0</v>
      </c>
      <c r="H165" s="64">
        <f t="shared" ref="H165" si="53">SUM(H166)</f>
        <v>0</v>
      </c>
      <c r="I165" s="64">
        <f t="shared" ref="I165" si="54">SUM(I166)</f>
        <v>0</v>
      </c>
      <c r="J165" s="142"/>
    </row>
    <row r="166" spans="1:10" ht="54.75" customHeight="1">
      <c r="A166" s="66"/>
      <c r="B166" s="67"/>
      <c r="C166" s="68" t="s">
        <v>146</v>
      </c>
      <c r="D166" s="69">
        <v>550000</v>
      </c>
      <c r="E166" s="75">
        <f>SUM(F166:I166)</f>
        <v>0</v>
      </c>
      <c r="F166" s="69">
        <v>0</v>
      </c>
      <c r="G166" s="69">
        <v>0</v>
      </c>
      <c r="H166" s="69">
        <v>0</v>
      </c>
      <c r="I166" s="69">
        <v>0</v>
      </c>
      <c r="J166" s="139" t="s">
        <v>105</v>
      </c>
    </row>
    <row r="167" spans="1:10" s="20" customFormat="1" ht="14.25" hidden="1" customHeight="1">
      <c r="A167" s="16" t="s">
        <v>43</v>
      </c>
      <c r="B167" s="16"/>
      <c r="C167" s="17" t="s">
        <v>60</v>
      </c>
      <c r="D167" s="18">
        <f>D168+D170</f>
        <v>0</v>
      </c>
      <c r="E167" s="18">
        <f t="shared" ref="E167:I167" si="55">E168+E170</f>
        <v>0</v>
      </c>
      <c r="F167" s="18">
        <f>F168+F170</f>
        <v>0</v>
      </c>
      <c r="G167" s="18">
        <f t="shared" si="55"/>
        <v>0</v>
      </c>
      <c r="H167" s="18">
        <f t="shared" si="55"/>
        <v>0</v>
      </c>
      <c r="I167" s="18">
        <f t="shared" si="55"/>
        <v>0</v>
      </c>
      <c r="J167" s="19"/>
    </row>
    <row r="168" spans="1:10" s="26" customFormat="1" ht="15.75" hidden="1" customHeight="1">
      <c r="A168" s="21"/>
      <c r="B168" s="46" t="s">
        <v>44</v>
      </c>
      <c r="C168" s="47" t="s">
        <v>61</v>
      </c>
      <c r="D168" s="48">
        <f t="shared" ref="D168:I170" si="56">SUM(D169:D169)</f>
        <v>0</v>
      </c>
      <c r="E168" s="48">
        <f t="shared" si="56"/>
        <v>0</v>
      </c>
      <c r="F168" s="48">
        <f t="shared" si="56"/>
        <v>0</v>
      </c>
      <c r="G168" s="48">
        <f t="shared" si="56"/>
        <v>0</v>
      </c>
      <c r="H168" s="48">
        <f t="shared" si="56"/>
        <v>0</v>
      </c>
      <c r="I168" s="48">
        <f t="shared" si="56"/>
        <v>0</v>
      </c>
      <c r="J168" s="25"/>
    </row>
    <row r="169" spans="1:10" s="134" customFormat="1" ht="29.25" hidden="1" customHeight="1">
      <c r="A169" s="167"/>
      <c r="B169" s="168"/>
      <c r="C169" s="152" t="s">
        <v>74</v>
      </c>
      <c r="D169" s="148"/>
      <c r="E169" s="148">
        <f>SUM(F169:I169)</f>
        <v>0</v>
      </c>
      <c r="F169" s="148">
        <v>0</v>
      </c>
      <c r="G169" s="148">
        <v>0</v>
      </c>
      <c r="H169" s="148">
        <v>0</v>
      </c>
      <c r="I169" s="148">
        <v>0</v>
      </c>
      <c r="J169" s="169" t="s">
        <v>75</v>
      </c>
    </row>
    <row r="170" spans="1:10" s="26" customFormat="1" ht="15.75" hidden="1" customHeight="1">
      <c r="A170" s="45"/>
      <c r="B170" s="46" t="s">
        <v>123</v>
      </c>
      <c r="C170" s="47" t="s">
        <v>54</v>
      </c>
      <c r="D170" s="48">
        <f t="shared" si="56"/>
        <v>0</v>
      </c>
      <c r="E170" s="48">
        <f t="shared" si="56"/>
        <v>0</v>
      </c>
      <c r="F170" s="48">
        <f t="shared" si="56"/>
        <v>0</v>
      </c>
      <c r="G170" s="48">
        <f t="shared" si="56"/>
        <v>0</v>
      </c>
      <c r="H170" s="48">
        <f t="shared" si="56"/>
        <v>0</v>
      </c>
      <c r="I170" s="48">
        <f t="shared" si="56"/>
        <v>0</v>
      </c>
      <c r="J170" s="25"/>
    </row>
    <row r="171" spans="1:10" s="134" customFormat="1" ht="29.25" hidden="1" customHeight="1">
      <c r="A171" s="168"/>
      <c r="B171" s="170"/>
      <c r="C171" s="152" t="s">
        <v>124</v>
      </c>
      <c r="D171" s="148"/>
      <c r="E171" s="148">
        <f>SUM(F171:I171)</f>
        <v>0</v>
      </c>
      <c r="F171" s="148">
        <v>0</v>
      </c>
      <c r="G171" s="148">
        <v>0</v>
      </c>
      <c r="H171" s="148">
        <v>0</v>
      </c>
      <c r="I171" s="148">
        <v>0</v>
      </c>
      <c r="J171" s="150" t="s">
        <v>15</v>
      </c>
    </row>
    <row r="172" spans="1:10" s="20" customFormat="1" ht="14.25" customHeight="1">
      <c r="A172" s="16" t="s">
        <v>198</v>
      </c>
      <c r="B172" s="16"/>
      <c r="C172" s="17" t="s">
        <v>200</v>
      </c>
      <c r="D172" s="137">
        <f>D173</f>
        <v>0</v>
      </c>
      <c r="E172" s="137">
        <f t="shared" ref="E172:I172" si="57">E173</f>
        <v>5000</v>
      </c>
      <c r="F172" s="137">
        <f t="shared" si="57"/>
        <v>5000</v>
      </c>
      <c r="G172" s="137">
        <f t="shared" si="57"/>
        <v>0</v>
      </c>
      <c r="H172" s="137">
        <f t="shared" si="57"/>
        <v>0</v>
      </c>
      <c r="I172" s="137">
        <f t="shared" si="57"/>
        <v>0</v>
      </c>
      <c r="J172" s="19"/>
    </row>
    <row r="173" spans="1:10" s="26" customFormat="1" ht="15.75" customHeight="1">
      <c r="A173" s="21"/>
      <c r="B173" s="46" t="s">
        <v>199</v>
      </c>
      <c r="C173" s="47" t="s">
        <v>54</v>
      </c>
      <c r="D173" s="48">
        <f t="shared" ref="D173:I173" si="58">SUM(D174)</f>
        <v>0</v>
      </c>
      <c r="E173" s="48">
        <f t="shared" si="58"/>
        <v>5000</v>
      </c>
      <c r="F173" s="48">
        <f t="shared" si="58"/>
        <v>5000</v>
      </c>
      <c r="G173" s="48">
        <f t="shared" si="58"/>
        <v>0</v>
      </c>
      <c r="H173" s="48">
        <f t="shared" si="58"/>
        <v>0</v>
      </c>
      <c r="I173" s="48">
        <f t="shared" si="58"/>
        <v>0</v>
      </c>
      <c r="J173" s="25"/>
    </row>
    <row r="174" spans="1:10" s="33" customFormat="1" ht="29.25" customHeight="1">
      <c r="A174" s="171"/>
      <c r="B174" s="138"/>
      <c r="C174" s="68" t="s">
        <v>201</v>
      </c>
      <c r="D174" s="69"/>
      <c r="E174" s="69">
        <f>SUM(F174:I174)</f>
        <v>5000</v>
      </c>
      <c r="F174" s="69">
        <v>5000</v>
      </c>
      <c r="G174" s="69">
        <v>0</v>
      </c>
      <c r="H174" s="69">
        <v>0</v>
      </c>
      <c r="I174" s="69">
        <v>0</v>
      </c>
      <c r="J174" s="139" t="s">
        <v>15</v>
      </c>
    </row>
    <row r="175" spans="1:10" s="20" customFormat="1" ht="28.5" customHeight="1">
      <c r="A175" s="172" t="s">
        <v>45</v>
      </c>
      <c r="B175" s="16"/>
      <c r="C175" s="17" t="s">
        <v>109</v>
      </c>
      <c r="D175" s="18">
        <f t="shared" ref="D175:I175" si="59">D176</f>
        <v>1879891</v>
      </c>
      <c r="E175" s="18">
        <f t="shared" si="59"/>
        <v>73750</v>
      </c>
      <c r="F175" s="18">
        <f t="shared" si="59"/>
        <v>33750</v>
      </c>
      <c r="G175" s="18">
        <f t="shared" si="59"/>
        <v>0</v>
      </c>
      <c r="H175" s="18">
        <f t="shared" si="59"/>
        <v>40000</v>
      </c>
      <c r="I175" s="18">
        <f t="shared" si="59"/>
        <v>0</v>
      </c>
      <c r="J175" s="19"/>
    </row>
    <row r="176" spans="1:10" s="26" customFormat="1" ht="15.75" customHeight="1">
      <c r="A176" s="45"/>
      <c r="B176" s="46" t="s">
        <v>46</v>
      </c>
      <c r="C176" s="47" t="s">
        <v>62</v>
      </c>
      <c r="D176" s="48">
        <f t="shared" ref="D176:I176" si="60">SUM(D177:D183)</f>
        <v>1879891</v>
      </c>
      <c r="E176" s="48">
        <f t="shared" si="60"/>
        <v>73750</v>
      </c>
      <c r="F176" s="48">
        <f t="shared" si="60"/>
        <v>33750</v>
      </c>
      <c r="G176" s="48">
        <f t="shared" si="60"/>
        <v>0</v>
      </c>
      <c r="H176" s="48">
        <f t="shared" si="60"/>
        <v>40000</v>
      </c>
      <c r="I176" s="48">
        <f t="shared" si="60"/>
        <v>0</v>
      </c>
      <c r="J176" s="25"/>
    </row>
    <row r="177" spans="1:10" s="54" customFormat="1" ht="43.5" customHeight="1">
      <c r="A177" s="27"/>
      <c r="B177" s="159"/>
      <c r="C177" s="173" t="s">
        <v>106</v>
      </c>
      <c r="D177" s="53">
        <v>258986</v>
      </c>
      <c r="E177" s="174">
        <f t="shared" ref="E177:E183" si="61">SUM(F177:I177)</f>
        <v>0</v>
      </c>
      <c r="F177" s="174">
        <v>0</v>
      </c>
      <c r="G177" s="174">
        <v>0</v>
      </c>
      <c r="H177" s="174">
        <v>0</v>
      </c>
      <c r="I177" s="174">
        <v>0</v>
      </c>
      <c r="J177" s="32" t="s">
        <v>103</v>
      </c>
    </row>
    <row r="178" spans="1:10" s="54" customFormat="1" ht="26.25" customHeight="1">
      <c r="A178" s="27"/>
      <c r="B178" s="159"/>
      <c r="C178" s="175" t="s">
        <v>150</v>
      </c>
      <c r="D178" s="36">
        <v>0</v>
      </c>
      <c r="E178" s="176">
        <f t="shared" ref="E178" si="62">SUM(F178:I178)</f>
        <v>60000</v>
      </c>
      <c r="F178" s="176">
        <v>30000</v>
      </c>
      <c r="G178" s="176">
        <v>0</v>
      </c>
      <c r="H178" s="36">
        <v>30000</v>
      </c>
      <c r="I178" s="176">
        <v>0</v>
      </c>
      <c r="J178" s="38"/>
    </row>
    <row r="179" spans="1:10" s="54" customFormat="1" ht="41.25" customHeight="1">
      <c r="A179" s="27"/>
      <c r="B179" s="159"/>
      <c r="C179" s="127" t="s">
        <v>106</v>
      </c>
      <c r="D179" s="69">
        <v>509585</v>
      </c>
      <c r="E179" s="70">
        <f t="shared" si="61"/>
        <v>0</v>
      </c>
      <c r="F179" s="70">
        <v>0</v>
      </c>
      <c r="G179" s="70">
        <v>0</v>
      </c>
      <c r="H179" s="70">
        <v>0</v>
      </c>
      <c r="I179" s="70">
        <v>0</v>
      </c>
      <c r="J179" s="177" t="s">
        <v>104</v>
      </c>
    </row>
    <row r="180" spans="1:10" ht="39.75" customHeight="1">
      <c r="A180" s="178"/>
      <c r="B180" s="178"/>
      <c r="C180" s="35" t="s">
        <v>106</v>
      </c>
      <c r="D180" s="69">
        <f>382076-1275-225</f>
        <v>380576</v>
      </c>
      <c r="E180" s="75">
        <f t="shared" si="61"/>
        <v>0</v>
      </c>
      <c r="F180" s="75">
        <v>0</v>
      </c>
      <c r="G180" s="75">
        <v>0</v>
      </c>
      <c r="H180" s="75">
        <v>0</v>
      </c>
      <c r="I180" s="75">
        <v>0</v>
      </c>
      <c r="J180" s="179" t="s">
        <v>76</v>
      </c>
    </row>
    <row r="181" spans="1:10" ht="27.75" customHeight="1">
      <c r="A181" s="178"/>
      <c r="B181" s="178"/>
      <c r="C181" s="35" t="s">
        <v>218</v>
      </c>
      <c r="D181" s="75">
        <v>0</v>
      </c>
      <c r="E181" s="69">
        <f t="shared" si="61"/>
        <v>13750</v>
      </c>
      <c r="F181" s="75">
        <v>3750</v>
      </c>
      <c r="G181" s="75">
        <v>0</v>
      </c>
      <c r="H181" s="75">
        <v>10000</v>
      </c>
      <c r="I181" s="75">
        <v>0</v>
      </c>
      <c r="J181" s="180"/>
    </row>
    <row r="182" spans="1:10" ht="39.75" customHeight="1">
      <c r="A182" s="66"/>
      <c r="B182" s="66"/>
      <c r="C182" s="35" t="s">
        <v>106</v>
      </c>
      <c r="D182" s="75">
        <v>270167</v>
      </c>
      <c r="E182" s="75">
        <f t="shared" si="61"/>
        <v>0</v>
      </c>
      <c r="F182" s="75">
        <v>0</v>
      </c>
      <c r="G182" s="75">
        <v>0</v>
      </c>
      <c r="H182" s="75">
        <v>0</v>
      </c>
      <c r="I182" s="75">
        <v>0</v>
      </c>
      <c r="J182" s="15" t="s">
        <v>102</v>
      </c>
    </row>
    <row r="183" spans="1:10" ht="39.75" customHeight="1">
      <c r="A183" s="66"/>
      <c r="B183" s="66"/>
      <c r="C183" s="29" t="s">
        <v>106</v>
      </c>
      <c r="D183" s="40">
        <v>460577</v>
      </c>
      <c r="E183" s="40">
        <f t="shared" si="61"/>
        <v>0</v>
      </c>
      <c r="F183" s="40">
        <v>0</v>
      </c>
      <c r="G183" s="40">
        <v>0</v>
      </c>
      <c r="H183" s="40">
        <v>0</v>
      </c>
      <c r="I183" s="40">
        <v>0</v>
      </c>
      <c r="J183" s="130" t="s">
        <v>101</v>
      </c>
    </row>
    <row r="184" spans="1:10" s="20" customFormat="1" ht="18" customHeight="1">
      <c r="A184" s="181" t="s">
        <v>73</v>
      </c>
      <c r="B184" s="182"/>
      <c r="C184" s="183"/>
      <c r="D184" s="18">
        <f t="shared" ref="D184:I184" si="63">SUM(D16+D39+D42+D124+D127+D131+D133+D157+D167+D175+D148+D152+D172)</f>
        <v>749385986</v>
      </c>
      <c r="E184" s="18">
        <f t="shared" si="63"/>
        <v>40126401</v>
      </c>
      <c r="F184" s="18">
        <f t="shared" si="63"/>
        <v>36198901</v>
      </c>
      <c r="G184" s="18">
        <f t="shared" si="63"/>
        <v>1707500</v>
      </c>
      <c r="H184" s="18">
        <f t="shared" si="63"/>
        <v>2220000</v>
      </c>
      <c r="I184" s="18">
        <f t="shared" si="63"/>
        <v>0</v>
      </c>
      <c r="J184" s="19"/>
    </row>
    <row r="185" spans="1:10">
      <c r="D185" s="184"/>
    </row>
    <row r="186" spans="1:10">
      <c r="C186" s="185"/>
      <c r="D186" s="186"/>
      <c r="E186" s="187"/>
      <c r="F186" s="187"/>
      <c r="G186" s="187"/>
      <c r="H186" s="187"/>
      <c r="I186" s="187"/>
    </row>
    <row r="187" spans="1:10">
      <c r="C187" s="185"/>
      <c r="D187" s="184"/>
      <c r="E187" s="187"/>
      <c r="F187" s="187"/>
      <c r="G187" s="187"/>
      <c r="H187" s="187"/>
      <c r="I187" s="187"/>
    </row>
    <row r="188" spans="1:10">
      <c r="C188" s="185"/>
      <c r="D188" s="187"/>
      <c r="E188" s="187"/>
      <c r="F188" s="187"/>
      <c r="G188" s="187"/>
      <c r="H188" s="187"/>
      <c r="I188" s="187"/>
    </row>
    <row r="189" spans="1:10" ht="11.25" customHeight="1">
      <c r="C189" s="188"/>
      <c r="D189" s="189"/>
    </row>
    <row r="190" spans="1:10">
      <c r="C190" s="188"/>
      <c r="D190" s="189"/>
    </row>
  </sheetData>
  <mergeCells count="23">
    <mergeCell ref="A184:C184"/>
    <mergeCell ref="J28:J29"/>
    <mergeCell ref="J139:J143"/>
    <mergeCell ref="J30:J32"/>
    <mergeCell ref="J44:J45"/>
    <mergeCell ref="J117:J118"/>
    <mergeCell ref="J177:J178"/>
    <mergeCell ref="J47:J61"/>
    <mergeCell ref="J154:J155"/>
    <mergeCell ref="J62:J100"/>
    <mergeCell ref="J101:J115"/>
    <mergeCell ref="J180:J181"/>
    <mergeCell ref="J18:J21"/>
    <mergeCell ref="J22:J26"/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</mergeCells>
  <phoneticPr fontId="1" type="noConversion"/>
  <printOptions horizontalCentered="1"/>
  <pageMargins left="0.70866141732283472" right="0.70866141732283472" top="0.98425196850393704" bottom="0.70866141732283472" header="0.23622047244094491" footer="0.39370078740157483"/>
  <pageSetup paperSize="9" scale="53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2014-07-02T12:12:50Z</cp:lastPrinted>
  <dcterms:created xsi:type="dcterms:W3CDTF">2010-11-24T14:24:05Z</dcterms:created>
  <dcterms:modified xsi:type="dcterms:W3CDTF">2014-07-09T09:38:04Z</dcterms:modified>
</cp:coreProperties>
</file>