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285" windowWidth="19020" windowHeight="12930"/>
  </bookViews>
  <sheets>
    <sheet name="inwestycje" sheetId="1" r:id="rId1"/>
  </sheets>
  <definedNames>
    <definedName name="_xlnm.Print_Area" localSheetId="0">inwestycje!$A$1:$P$140</definedName>
    <definedName name="_xlnm.Print_Titles" localSheetId="0">inwestycje!$12:$15</definedName>
  </definedNames>
  <calcPr calcId="125725"/>
</workbook>
</file>

<file path=xl/calcChain.xml><?xml version="1.0" encoding="utf-8"?>
<calcChain xmlns="http://schemas.openxmlformats.org/spreadsheetml/2006/main">
  <c r="K109" i="1"/>
  <c r="E70" l="1"/>
  <c r="L77"/>
  <c r="K75"/>
  <c r="E73"/>
  <c r="E72"/>
  <c r="E71"/>
  <c r="E69"/>
  <c r="E67"/>
  <c r="E66"/>
  <c r="E65"/>
  <c r="E64"/>
  <c r="E62"/>
  <c r="E61"/>
  <c r="E60"/>
  <c r="E59"/>
  <c r="E57"/>
  <c r="E56"/>
  <c r="E52"/>
  <c r="L53"/>
  <c r="L51"/>
  <c r="K122" l="1"/>
  <c r="K100" l="1"/>
  <c r="K99" s="1"/>
  <c r="K98"/>
  <c r="K97" s="1"/>
  <c r="K96" s="1"/>
  <c r="K87"/>
  <c r="K32" l="1"/>
  <c r="K31"/>
  <c r="K30"/>
  <c r="K29"/>
  <c r="K20"/>
  <c r="K26"/>
  <c r="M104" l="1"/>
  <c r="N104"/>
  <c r="O104"/>
  <c r="L104"/>
  <c r="H104"/>
  <c r="I104"/>
  <c r="J104"/>
  <c r="G104"/>
  <c r="F109"/>
  <c r="M99"/>
  <c r="N99"/>
  <c r="O99"/>
  <c r="H99"/>
  <c r="I99"/>
  <c r="J99"/>
  <c r="M120"/>
  <c r="N120"/>
  <c r="O120"/>
  <c r="L120"/>
  <c r="G120"/>
  <c r="F122"/>
  <c r="K120" l="1"/>
  <c r="H97"/>
  <c r="I97"/>
  <c r="J97"/>
  <c r="L99"/>
  <c r="G99"/>
  <c r="E99"/>
  <c r="D99"/>
  <c r="F100"/>
  <c r="F99" s="1"/>
  <c r="L97"/>
  <c r="G97"/>
  <c r="G96" s="1"/>
  <c r="E97"/>
  <c r="E96" s="1"/>
  <c r="D97"/>
  <c r="F98"/>
  <c r="F97" s="1"/>
  <c r="F75"/>
  <c r="F32"/>
  <c r="F31"/>
  <c r="F30"/>
  <c r="D96" l="1"/>
  <c r="L96"/>
  <c r="F29"/>
  <c r="L17" l="1"/>
  <c r="M17"/>
  <c r="N17"/>
  <c r="O17"/>
  <c r="H17"/>
  <c r="I17"/>
  <c r="J17"/>
  <c r="G17"/>
  <c r="F26"/>
  <c r="F20"/>
  <c r="D20"/>
  <c r="H120" l="1"/>
  <c r="I120"/>
  <c r="J120"/>
  <c r="F120" l="1"/>
  <c r="K28"/>
  <c r="K33"/>
  <c r="K34"/>
  <c r="K35"/>
  <c r="K36"/>
  <c r="K38"/>
  <c r="K40"/>
  <c r="K43"/>
  <c r="K46"/>
  <c r="K47"/>
  <c r="K49"/>
  <c r="K50"/>
  <c r="K51"/>
  <c r="K52"/>
  <c r="K53"/>
  <c r="K54"/>
  <c r="K55"/>
  <c r="K56"/>
  <c r="K57"/>
  <c r="K58"/>
  <c r="K59"/>
  <c r="K60"/>
  <c r="K61"/>
  <c r="K62"/>
  <c r="K64"/>
  <c r="K65"/>
  <c r="K66"/>
  <c r="K67"/>
  <c r="K68"/>
  <c r="K69"/>
  <c r="K70"/>
  <c r="K71"/>
  <c r="K72"/>
  <c r="K73"/>
  <c r="K74"/>
  <c r="K76"/>
  <c r="K77"/>
  <c r="K78"/>
  <c r="K79"/>
  <c r="K81"/>
  <c r="K82"/>
  <c r="K83"/>
  <c r="K85"/>
  <c r="K88"/>
  <c r="K91"/>
  <c r="K94"/>
  <c r="K95"/>
  <c r="K103"/>
  <c r="K102" s="1"/>
  <c r="K105"/>
  <c r="K106"/>
  <c r="K107"/>
  <c r="K108"/>
  <c r="K111"/>
  <c r="K114"/>
  <c r="K115"/>
  <c r="K118"/>
  <c r="K119"/>
  <c r="K121"/>
  <c r="K124"/>
  <c r="K126"/>
  <c r="K129"/>
  <c r="K131"/>
  <c r="K134"/>
  <c r="K135"/>
  <c r="K136"/>
  <c r="K137"/>
  <c r="K138"/>
  <c r="K139"/>
  <c r="K22"/>
  <c r="K23"/>
  <c r="K24"/>
  <c r="K25"/>
  <c r="K19"/>
  <c r="K21"/>
  <c r="K18"/>
  <c r="K104" l="1"/>
  <c r="K27"/>
  <c r="K17"/>
  <c r="O133"/>
  <c r="O132" s="1"/>
  <c r="N133"/>
  <c r="M133"/>
  <c r="L133"/>
  <c r="N132"/>
  <c r="M132"/>
  <c r="O130"/>
  <c r="N130"/>
  <c r="M130"/>
  <c r="L130"/>
  <c r="O128"/>
  <c r="N128"/>
  <c r="M128"/>
  <c r="L128"/>
  <c r="O125"/>
  <c r="N125"/>
  <c r="M125"/>
  <c r="L125"/>
  <c r="L123"/>
  <c r="O123"/>
  <c r="N123"/>
  <c r="M123"/>
  <c r="O117"/>
  <c r="N117"/>
  <c r="M117"/>
  <c r="L117"/>
  <c r="O113"/>
  <c r="O112" s="1"/>
  <c r="N113"/>
  <c r="M113"/>
  <c r="L113"/>
  <c r="N112"/>
  <c r="M112"/>
  <c r="O110"/>
  <c r="N110"/>
  <c r="M110"/>
  <c r="L110"/>
  <c r="O102"/>
  <c r="N102"/>
  <c r="N101" s="1"/>
  <c r="M102"/>
  <c r="L102"/>
  <c r="O93"/>
  <c r="O92" s="1"/>
  <c r="N93"/>
  <c r="N92" s="1"/>
  <c r="M93"/>
  <c r="M92" s="1"/>
  <c r="L93"/>
  <c r="O90"/>
  <c r="O89" s="1"/>
  <c r="N90"/>
  <c r="M90"/>
  <c r="M89" s="1"/>
  <c r="L90"/>
  <c r="N89"/>
  <c r="O86"/>
  <c r="N86"/>
  <c r="M86"/>
  <c r="L86"/>
  <c r="O84"/>
  <c r="N84"/>
  <c r="M84"/>
  <c r="L84"/>
  <c r="O80"/>
  <c r="N80"/>
  <c r="M80"/>
  <c r="L80"/>
  <c r="O48"/>
  <c r="N48"/>
  <c r="M48"/>
  <c r="O45"/>
  <c r="N45"/>
  <c r="M45"/>
  <c r="L45"/>
  <c r="O42"/>
  <c r="O41" s="1"/>
  <c r="N42"/>
  <c r="N41" s="1"/>
  <c r="M42"/>
  <c r="M41" s="1"/>
  <c r="L42"/>
  <c r="L41" s="1"/>
  <c r="O39"/>
  <c r="N39"/>
  <c r="M39"/>
  <c r="L39"/>
  <c r="O37"/>
  <c r="N37"/>
  <c r="M37"/>
  <c r="L37"/>
  <c r="O27"/>
  <c r="N27"/>
  <c r="M27"/>
  <c r="L27"/>
  <c r="E133"/>
  <c r="E132" s="1"/>
  <c r="E130"/>
  <c r="E128"/>
  <c r="E125"/>
  <c r="E123"/>
  <c r="E120"/>
  <c r="E117"/>
  <c r="E113"/>
  <c r="E112" s="1"/>
  <c r="E110"/>
  <c r="E104"/>
  <c r="E102"/>
  <c r="E93"/>
  <c r="E92" s="1"/>
  <c r="E90"/>
  <c r="E89" s="1"/>
  <c r="E86"/>
  <c r="E84"/>
  <c r="E80"/>
  <c r="E48"/>
  <c r="E45"/>
  <c r="E42"/>
  <c r="E41" s="1"/>
  <c r="E39"/>
  <c r="E37"/>
  <c r="E27"/>
  <c r="E17"/>
  <c r="M101" l="1"/>
  <c r="E101"/>
  <c r="L101"/>
  <c r="O101"/>
  <c r="O116"/>
  <c r="M127"/>
  <c r="K125"/>
  <c r="N116"/>
  <c r="N16"/>
  <c r="K110"/>
  <c r="O127"/>
  <c r="M44"/>
  <c r="K130"/>
  <c r="M116"/>
  <c r="N127"/>
  <c r="K41"/>
  <c r="K37"/>
  <c r="K45"/>
  <c r="K80"/>
  <c r="K39"/>
  <c r="K42"/>
  <c r="L127"/>
  <c r="K128"/>
  <c r="L89"/>
  <c r="K89" s="1"/>
  <c r="K90"/>
  <c r="K123"/>
  <c r="L16"/>
  <c r="L132"/>
  <c r="K132" s="1"/>
  <c r="K133"/>
  <c r="E127"/>
  <c r="L116"/>
  <c r="K117"/>
  <c r="L112"/>
  <c r="K112" s="1"/>
  <c r="K113"/>
  <c r="E16"/>
  <c r="L92"/>
  <c r="K92" s="1"/>
  <c r="K93"/>
  <c r="K86"/>
  <c r="O44"/>
  <c r="K84"/>
  <c r="O16"/>
  <c r="M16"/>
  <c r="N44"/>
  <c r="L48"/>
  <c r="E116"/>
  <c r="E44"/>
  <c r="F131"/>
  <c r="F130" s="1"/>
  <c r="J130"/>
  <c r="I130"/>
  <c r="H130"/>
  <c r="G130"/>
  <c r="D130"/>
  <c r="E140" l="1"/>
  <c r="M97"/>
  <c r="O97"/>
  <c r="O96" s="1"/>
  <c r="O140" s="1"/>
  <c r="N97"/>
  <c r="N96" s="1"/>
  <c r="N140" s="1"/>
  <c r="M96"/>
  <c r="M140" s="1"/>
  <c r="K116"/>
  <c r="K127"/>
  <c r="K101"/>
  <c r="K16"/>
  <c r="L44"/>
  <c r="K48"/>
  <c r="F83"/>
  <c r="F82"/>
  <c r="F81"/>
  <c r="J80"/>
  <c r="I80"/>
  <c r="H80"/>
  <c r="G80"/>
  <c r="D80"/>
  <c r="K44" l="1"/>
  <c r="K140" s="1"/>
  <c r="L140"/>
  <c r="F80"/>
  <c r="G113" l="1"/>
  <c r="H113"/>
  <c r="I113"/>
  <c r="J113"/>
  <c r="D113"/>
  <c r="F115"/>
  <c r="J112" l="1"/>
  <c r="G112"/>
  <c r="H112"/>
  <c r="I112"/>
  <c r="D112"/>
  <c r="F114"/>
  <c r="F113" s="1"/>
  <c r="F112" s="1"/>
  <c r="F53" l="1"/>
  <c r="D53" l="1"/>
  <c r="F59" l="1"/>
  <c r="F60"/>
  <c r="D68" l="1"/>
  <c r="D117" l="1"/>
  <c r="G117"/>
  <c r="H117"/>
  <c r="I117"/>
  <c r="J117"/>
  <c r="F119"/>
  <c r="H48" l="1"/>
  <c r="I48"/>
  <c r="J48"/>
  <c r="F79"/>
  <c r="F76" l="1"/>
  <c r="D50" l="1"/>
  <c r="I87" l="1"/>
  <c r="D48" l="1"/>
  <c r="F47" l="1"/>
  <c r="F46"/>
  <c r="F77" l="1"/>
  <c r="G48"/>
  <c r="F78" l="1"/>
  <c r="F74"/>
  <c r="F73"/>
  <c r="F72"/>
  <c r="F71"/>
  <c r="F70"/>
  <c r="F69"/>
  <c r="F68"/>
  <c r="F67"/>
  <c r="F66"/>
  <c r="F65"/>
  <c r="F64"/>
  <c r="F62"/>
  <c r="F61"/>
  <c r="F58"/>
  <c r="F57"/>
  <c r="F56"/>
  <c r="F55"/>
  <c r="F54"/>
  <c r="F52"/>
  <c r="F51"/>
  <c r="F50"/>
  <c r="F49"/>
  <c r="F48" l="1"/>
  <c r="D21"/>
  <c r="D17" s="1"/>
  <c r="F21"/>
  <c r="F137"/>
  <c r="F135"/>
  <c r="F138"/>
  <c r="F124"/>
  <c r="F123" s="1"/>
  <c r="F24"/>
  <c r="F126"/>
  <c r="F125" s="1"/>
  <c r="J125"/>
  <c r="I125"/>
  <c r="H125"/>
  <c r="G125"/>
  <c r="D125"/>
  <c r="J123"/>
  <c r="I123"/>
  <c r="H123"/>
  <c r="D123"/>
  <c r="F121"/>
  <c r="D121"/>
  <c r="F118"/>
  <c r="F117" s="1"/>
  <c r="F111"/>
  <c r="F110" s="1"/>
  <c r="J110"/>
  <c r="I110"/>
  <c r="H110"/>
  <c r="G110"/>
  <c r="D110"/>
  <c r="D120" l="1"/>
  <c r="D116" s="1"/>
  <c r="G123"/>
  <c r="G116" s="1"/>
  <c r="H116"/>
  <c r="I116"/>
  <c r="J116"/>
  <c r="F116"/>
  <c r="F94"/>
  <c r="F107"/>
  <c r="F105"/>
  <c r="F28"/>
  <c r="F35"/>
  <c r="F40"/>
  <c r="F90"/>
  <c r="F89" s="1"/>
  <c r="J90"/>
  <c r="J89" s="1"/>
  <c r="I90"/>
  <c r="I89" s="1"/>
  <c r="H90"/>
  <c r="H89" s="1"/>
  <c r="G90"/>
  <c r="G89" s="1"/>
  <c r="D90"/>
  <c r="D89" s="1"/>
  <c r="F136" l="1"/>
  <c r="G128"/>
  <c r="G127" s="1"/>
  <c r="H128"/>
  <c r="H127" s="1"/>
  <c r="I128"/>
  <c r="I127" s="1"/>
  <c r="J128"/>
  <c r="J127" s="1"/>
  <c r="F129" l="1"/>
  <c r="D133" l="1"/>
  <c r="D104" l="1"/>
  <c r="G133"/>
  <c r="G132" s="1"/>
  <c r="H133"/>
  <c r="H132" s="1"/>
  <c r="I133"/>
  <c r="I132" s="1"/>
  <c r="J133"/>
  <c r="J132" s="1"/>
  <c r="D132"/>
  <c r="F33"/>
  <c r="F134"/>
  <c r="F23"/>
  <c r="F25"/>
  <c r="F22"/>
  <c r="F19"/>
  <c r="F139"/>
  <c r="F128"/>
  <c r="F127" s="1"/>
  <c r="F106"/>
  <c r="F104" s="1"/>
  <c r="F108"/>
  <c r="F103"/>
  <c r="F102" s="1"/>
  <c r="F101" s="1"/>
  <c r="G102"/>
  <c r="G101" s="1"/>
  <c r="H102"/>
  <c r="H101" s="1"/>
  <c r="I102"/>
  <c r="I101" s="1"/>
  <c r="J102"/>
  <c r="J101" s="1"/>
  <c r="D102"/>
  <c r="D101" s="1"/>
  <c r="F95"/>
  <c r="G93"/>
  <c r="G92" s="1"/>
  <c r="H93"/>
  <c r="H92" s="1"/>
  <c r="I93"/>
  <c r="I92" s="1"/>
  <c r="J93"/>
  <c r="J92" s="1"/>
  <c r="D93"/>
  <c r="D92" s="1"/>
  <c r="F87"/>
  <c r="F88"/>
  <c r="G86"/>
  <c r="H86"/>
  <c r="I86"/>
  <c r="J86"/>
  <c r="F85"/>
  <c r="F84" s="1"/>
  <c r="G84"/>
  <c r="H84"/>
  <c r="I84"/>
  <c r="J84"/>
  <c r="F45"/>
  <c r="G45"/>
  <c r="H45"/>
  <c r="I45"/>
  <c r="J45"/>
  <c r="D84"/>
  <c r="F43"/>
  <c r="F42" s="1"/>
  <c r="F41" s="1"/>
  <c r="G42"/>
  <c r="G41" s="1"/>
  <c r="H42"/>
  <c r="H41" s="1"/>
  <c r="I42"/>
  <c r="I41" s="1"/>
  <c r="J42"/>
  <c r="J41" s="1"/>
  <c r="D42"/>
  <c r="D41" s="1"/>
  <c r="F38"/>
  <c r="F37" s="1"/>
  <c r="G37"/>
  <c r="H37"/>
  <c r="I37"/>
  <c r="J37"/>
  <c r="D37"/>
  <c r="F39"/>
  <c r="G39"/>
  <c r="H39"/>
  <c r="I39"/>
  <c r="J39"/>
  <c r="D39"/>
  <c r="F34"/>
  <c r="H27"/>
  <c r="G27"/>
  <c r="I27"/>
  <c r="J27"/>
  <c r="D27"/>
  <c r="F18"/>
  <c r="F36"/>
  <c r="D86"/>
  <c r="D45"/>
  <c r="F17" l="1"/>
  <c r="H44"/>
  <c r="J44"/>
  <c r="G44"/>
  <c r="D44"/>
  <c r="D140" s="1"/>
  <c r="I44"/>
  <c r="D16"/>
  <c r="J16"/>
  <c r="G16"/>
  <c r="H16"/>
  <c r="I16"/>
  <c r="F27"/>
  <c r="D128"/>
  <c r="D127" s="1"/>
  <c r="F133"/>
  <c r="F132" s="1"/>
  <c r="F86"/>
  <c r="F44" s="1"/>
  <c r="F93"/>
  <c r="F92" s="1"/>
  <c r="G140" l="1"/>
  <c r="J96"/>
  <c r="J140" s="1"/>
  <c r="I96"/>
  <c r="I140" s="1"/>
  <c r="H96"/>
  <c r="H140" s="1"/>
  <c r="F16"/>
  <c r="F96" l="1"/>
  <c r="F140" s="1"/>
</calcChain>
</file>

<file path=xl/comments1.xml><?xml version="1.0" encoding="utf-8"?>
<comments xmlns="http://schemas.openxmlformats.org/spreadsheetml/2006/main">
  <authors>
    <author>b.kaczmarczyk</author>
  </authors>
  <commentList>
    <comment ref="C139" authorId="0">
      <text>
        <r>
          <rPr>
            <b/>
            <sz val="8"/>
            <color indexed="81"/>
            <rFont val="Tahoma"/>
            <family val="2"/>
            <charset val="238"/>
          </rPr>
          <t>b.kaczmarczyk:</t>
        </r>
        <r>
          <rPr>
            <sz val="8"/>
            <color indexed="81"/>
            <rFont val="Tahoma"/>
            <family val="2"/>
            <charset val="238"/>
          </rPr>
          <t xml:space="preserve">
27.08 zm nazwy z: Zakup nowego środka transportu (samochód osobowo-terenowy do realizacji zadań statutowych)
                           na: Zakup samochodu z przyczepą transportową wraz ze specjalistyczną aparaturą do pomiaru natężenia hałasu  </t>
        </r>
      </text>
    </comment>
  </commentList>
</comments>
</file>

<file path=xl/sharedStrings.xml><?xml version="1.0" encoding="utf-8"?>
<sst xmlns="http://schemas.openxmlformats.org/spreadsheetml/2006/main" count="217" uniqueCount="184">
  <si>
    <t>Rozdz.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</si>
  <si>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</si>
  <si>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</si>
  <si>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</si>
  <si>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</si>
  <si>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</si>
  <si>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</si>
  <si>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</si>
  <si>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</si>
  <si>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01006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</si>
  <si>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</si>
  <si>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</si>
  <si>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</si>
  <si>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</si>
  <si>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</si>
  <si>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</si>
  <si>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050</t>
  </si>
  <si>
    <t>05011</t>
  </si>
  <si>
    <t>600</t>
  </si>
  <si>
    <t>60001</t>
  </si>
  <si>
    <t>60013</t>
  </si>
  <si>
    <t xml:space="preserve">Rozbudowa drogi wojewódzkiej nr 503 na odcinku Elbląg-Tolkmicko - Pogrodzie  </t>
  </si>
  <si>
    <t>Rozbudowa drogi wojewódzkiej nr 513 na odcinku Orneta - Lidzbark Warmiński wraz z m. Orneta i Lidzbark Warmiński</t>
  </si>
  <si>
    <t xml:space="preserve">Rozbudowa drogi wojewódzkiej nr 513 na odcinku Pasłęk - Orneta wraz ze zmianą przebiegu na terenie Pasłęka 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</si>
  <si>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</si>
  <si>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</si>
  <si>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</si>
  <si>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</si>
  <si>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</si>
  <si>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592 w ciągu ul. Kętrzyńskiej i Bohaterów Warszawy w m. Bartoszyce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</si>
  <si>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</si>
  <si>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</si>
  <si>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</si>
  <si>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</si>
  <si>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</si>
  <si>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</si>
  <si>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60095</t>
  </si>
  <si>
    <t>700</t>
  </si>
  <si>
    <t>70005</t>
  </si>
  <si>
    <t>750</t>
  </si>
  <si>
    <t>75018</t>
  </si>
  <si>
    <t>75017</t>
  </si>
  <si>
    <t>853</t>
  </si>
  <si>
    <t>85332</t>
  </si>
  <si>
    <t>925</t>
  </si>
  <si>
    <t>92502</t>
  </si>
  <si>
    <t>Zarządy melioracji i urządzeń wodnych</t>
  </si>
  <si>
    <t>Melioracje wodne</t>
  </si>
  <si>
    <t>Rybołówstwo i rybactwo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</si>
  <si>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</si>
  <si>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</si>
  <si>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</si>
  <si>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</si>
  <si>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</si>
  <si>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</si>
  <si>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</si>
  <si>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</si>
  <si>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</si>
  <si>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</si>
  <si>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</si>
  <si>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</si>
  <si>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Parki krajobrazowe</t>
  </si>
  <si>
    <t>01042</t>
  </si>
  <si>
    <t>Wyłączenie z produkcji gruntów rolnych</t>
  </si>
  <si>
    <t>w zł</t>
  </si>
  <si>
    <t>Dz.</t>
  </si>
  <si>
    <t xml:space="preserve">Program Rozwoju Obszarów Wiejskich 2007-2013 </t>
  </si>
  <si>
    <t>Program Operacyjny Infrastruktura i Środowisko 2007-2013
Kompleksowe zabezpieczenie przeciwpowodziowe Żuław - Etap I</t>
  </si>
  <si>
    <t xml:space="preserve">Budowa Warmińsko-Mazurskiej platformy GIS dla przedsiębiorstw </t>
  </si>
  <si>
    <t>Pomoc Techniczna</t>
  </si>
  <si>
    <t>Budowa nowego wiaduktu w msc. Hartowiec w ciągu drogi nr 538 wraz z rozbiórką starego i przebudową dróg dojazdowych od strony Katlewa i cmentarza (2011-2013)</t>
  </si>
  <si>
    <t>Budowa mostu przez rzekę Miłakówkę z rozbiórką starego, przebudową dojazdów i infrastruktury technicznej w ciągu drogi nr 528 w msc. Głodówko (2012-2013)</t>
  </si>
  <si>
    <t>Dokumentacje techniczne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</si>
  <si>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</si>
  <si>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</si>
  <si>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Rychliki - Jelonki wraz z infrastrukturą towarzyszącą</t>
  </si>
  <si>
    <t>Ogółem</t>
  </si>
  <si>
    <t>Program Operacyjny Kapitał Ludzki Pomoc Techniczna</t>
  </si>
  <si>
    <t>Park Krajobrazowy Puszczy Rominckiej 
w Żytkiejmach</t>
  </si>
  <si>
    <t>630</t>
  </si>
  <si>
    <t>63003</t>
  </si>
  <si>
    <t>Turystyka</t>
  </si>
  <si>
    <t>Zadania w zakresie upowszechniania turystyki</t>
  </si>
  <si>
    <t>Trasy rowerowe w Polsce Wschodniej - województwo warmińsko-mazurskie</t>
  </si>
  <si>
    <t>Nazwa zadania inwestycyjnego 
realizowanego w 2013 roku</t>
  </si>
  <si>
    <t>Zakup sprzętu teleinformatycznego</t>
  </si>
  <si>
    <t>Wydatki na zakupy inwestycyjne, w tym: zakup kserokopiarki oraz samochodu służbowego w ramach PROW 2007-2013</t>
  </si>
  <si>
    <t>Zakupy nieruchomości pod drogi wojewódzkie w trybie kodeksu cywilnego</t>
  </si>
  <si>
    <t>75075</t>
  </si>
  <si>
    <t>Promocja jednostek samorządu terytorialnego</t>
  </si>
  <si>
    <t>801</t>
  </si>
  <si>
    <t>80120</t>
  </si>
  <si>
    <t>80130</t>
  </si>
  <si>
    <t>80146</t>
  </si>
  <si>
    <t>80147</t>
  </si>
  <si>
    <t>Oświata i wychowanie</t>
  </si>
  <si>
    <t>Licea ogólnokształcące</t>
  </si>
  <si>
    <t>Remont sali gimnastycznej</t>
  </si>
  <si>
    <t>Szkoły zawodowe</t>
  </si>
  <si>
    <t>Zakup unitu stomatologicznego</t>
  </si>
  <si>
    <t>Zespół Szkół z Ukraińskim Językiem Nauczania 
w Górowie Iławeckim</t>
  </si>
  <si>
    <t>Dokształcanie i doskonalenie nauczycieli</t>
  </si>
  <si>
    <t>Zakup samochodu służbowego</t>
  </si>
  <si>
    <t>Biblioteki pedagogiczne</t>
  </si>
  <si>
    <t>Zarząd Melioracji 
i Urządzeń Wodnych 
w Olsztynie</t>
  </si>
  <si>
    <t>Wykonanie przyłącza kanalizacji sanitarnej do budynku 
biurowego Rejonowego Oddziału ZMiUW w Działdowie 
przy ul. Warszawskiej 21</t>
  </si>
  <si>
    <t>Zakup 2 szt. urządzeń wielofunkcyjnych w celu utworzenia 
punktów  centralnego wydruku w siedzibie ZMiUW w Olsztynie 
przy ul. Partyzantów 24</t>
  </si>
  <si>
    <t>Żuławski Zarząd Melioracji 
i Urządzeń Wodnych 
w Elblągu</t>
  </si>
  <si>
    <t>Budynek biurowy ul. Junaków 3, Elbląg
Pokrycie dachu papą wraz z uzupełnieniem obróbki blacharskiej</t>
  </si>
  <si>
    <t xml:space="preserve">Budynek administracyjny ul. Warszawska, Elbląg
Pokrycie dachu papą wraz z uzupełnieniem obróbki blacharskiej
</t>
  </si>
  <si>
    <t>Budynek garażowo-warsztatowy, Braniewo
Elewacja wraz z wymianą rur spustowych, rynien, pokryć dachu papą</t>
  </si>
  <si>
    <t xml:space="preserve">Termomodernizacja siedziby Welskiego Parku Krajobrazowego - etap II (docieplenie siedziby) </t>
  </si>
  <si>
    <t>Przebudowa 16 przepustów drogowych koło msc. Międzylesie, Barciany, Biedaszki, Żydowo, Chrzanowo, Lenkupie, Przesławki, Sławka Mała (2 szt.), Łysakowo oraz w miejscowościach Podlechy, Rokitnik, Czarnowiec, Spytajny, Wesołowo i Pawłowo</t>
  </si>
  <si>
    <t>Budowa chodnika w ciągu drogi nr 594 w msc. Pieckowo</t>
  </si>
  <si>
    <t>Adaptacja części budynku warsztatowego przy ul. Przemysłowej Nr 3 w Biskupcu na siedzibę Obwodu Dróg Wojewódzkich w Biskupcu</t>
  </si>
  <si>
    <t>Wzmocnienie nawierzchni drogi nr 591 odcinkami między Kętrzynem i Mrągowem (2012-2013)</t>
  </si>
  <si>
    <t>Budynek warsztatowo-socjalny ul. Junaków 3, Elbląg
Instalacja wodno-kanalizacyjna i CO</t>
  </si>
  <si>
    <t>Warmińsko-Mazurska Biblioteka Pedagogiczna 
im. Prof. Tadeusza Kotarbińskiego w Olsztynie</t>
  </si>
  <si>
    <t>Ochrona cennych zasobów przyrodniczych na terenie parków krajobrazowych Pomorza, Kujaw, Warmii i Mazur przed nadmierną 
i niekontrolowaną presją turystów</t>
  </si>
  <si>
    <t>Program Operacyjny Zrównoważony rozwój sektora rybołówstwa 
i nadbrzeżnych obszarów rybackich 2007-2013</t>
  </si>
  <si>
    <t>Wydatki na zakupy inwestycyjne, w tym VAT z tytułu leasingu samochodu osobowego oraz zakup kserokopiarki kolor w ramach 
PO RYBY 2007-2013</t>
  </si>
  <si>
    <t>Zakup 3 szt. dwuczłonowych autobusów szynowych 
(umowa leasingu finansowego)</t>
  </si>
  <si>
    <t>Dostosowanie budynku biblioteki w Olsztynie ul. Natalii Żarskiej 
2 do wymagań bezpieczeństwa pożarowego</t>
  </si>
  <si>
    <t>Ogrody botaniczne i zoologiczne oraz naturalne obszary 
i obiekty chronionej przyrody</t>
  </si>
  <si>
    <t>Data Center (Cyfrowy Urząd)</t>
  </si>
  <si>
    <t>Sieć Szerokopasmowa Polski Wschodniej - województwo warmińsko-mazurskie</t>
  </si>
  <si>
    <t>Usprawnienie połączenia transgranicznego pomiędzy Polską i Rosją poprzez przebudowę drogi wojewódzkiej nr 591 granica państwa - Barciany - Kętrzyn - Mrągowo; etap I: wzmocnienie nawierzchni DW 591 na odcinku Kętrzyn - Mrągowo o łącznej długości 22,4 km</t>
  </si>
  <si>
    <t>Budowa ciągu pieszo-rowerowego przy drodze wojewódzkiej nr 527 na odcinku Pasłęk-Rzędy, etap I</t>
  </si>
  <si>
    <t>Zagospodarowanie przestrzeni publicznej poprzez budowę ogrodzenia terenu Zespołu Szkół z Ukraińskim Językiem Nauczania w Górowie Iławeckim</t>
  </si>
  <si>
    <t xml:space="preserve">Rozbudowa drogi wojewódzkiej nr 513 na odcinku Pasłęk - Orneta </t>
  </si>
  <si>
    <t xml:space="preserve">Rozbudowa drogi wojewódzkiej nr 513 na odcinku węzeł Pasłęk Północ - Pasłęk wraz ze zmianą przebiegu na terenie Pasłęka </t>
  </si>
  <si>
    <t xml:space="preserve">Dostawa nowego dwuczłonowego elektrycznego zespołu trakcyjnego
 </t>
  </si>
  <si>
    <t>Zmiana przebiegu odcinka drogi wojewódzkiej nr 594 Bisztynek - Robawy - Kętrzyn w obrębie istniejącego wiaduktu nad zlikwidowaną linią kolejową koło m. Sątopy</t>
  </si>
  <si>
    <t>Docieplenie budynku Rejonowego Oddziału ZMiUW w Olsztynie przy ulicy Kościuszki 37A, wraz z wykonaniem elewacji</t>
  </si>
  <si>
    <t>754</t>
  </si>
  <si>
    <t>75421</t>
  </si>
  <si>
    <t>Bezpieczeństwo publiczne i ochrona przeciwpożarowa</t>
  </si>
  <si>
    <t>Zarządzanie kryzysowe</t>
  </si>
  <si>
    <t>Zakupy inwestycyjne dt. realizacji zadań z zakresu ochrony przeciwpowodziowej</t>
  </si>
  <si>
    <t>Doposażenie magazynu przeciwpowodziowego: dwa agregaty prądotwórcze i pompa z silnikiem spalinowym na podwoziu kołowym</t>
  </si>
  <si>
    <t>Przebudowa budynku administracyjnego, przy ul. Głowackiego 17 w Olsztynie na potrzeby Urzędu Marszałkowskiego Województwa Warmińsko-Mazurskiego</t>
  </si>
  <si>
    <t>60014</t>
  </si>
  <si>
    <t>Drogi publiczne powiatowe</t>
  </si>
  <si>
    <t>Przebudowa przepustu drogowego w msc. Koczarki w ciągu drogi powiatowej nr 1737 N</t>
  </si>
  <si>
    <t>Przebudowa drogi w msc. Suchawa</t>
  </si>
  <si>
    <t>Przebudowa przepustu na drodze powiatowej nr 1705 N w msc. Warnikajmy</t>
  </si>
  <si>
    <t>85395</t>
  </si>
  <si>
    <t>Program Operacyjny Kapitał Ludzki</t>
  </si>
  <si>
    <t>Wykonanie 
w 2013 roku 
(12 do 15)</t>
  </si>
  <si>
    <t>Wykonanie wydatków jednorocznych</t>
  </si>
  <si>
    <t>Planowane wydatki jednoroczne</t>
  </si>
  <si>
    <t>Rok budżetowy
2013
(7 do 10)</t>
  </si>
  <si>
    <t>Tabela Nr 3</t>
  </si>
  <si>
    <t>Zarząd Dróg Wojewódzkich 
w Olsztynie</t>
  </si>
  <si>
    <t>Szkoła Policealna 
w Ełku</t>
  </si>
  <si>
    <t>Warmińsko-Mazurski Ośrodek Doskonalenia Nauczycieli 
w Olsztynie</t>
  </si>
  <si>
    <t>Wojewódzki Urząd Pracy w Olsztynie</t>
  </si>
  <si>
    <t>Zespół Parków Krajobrazowych pojezierza Iławskiego 
i Wzgórz Dylewskich 
w Jerzwałdzie</t>
  </si>
  <si>
    <t>Wykonanie wydatków na zadania inwestycyjne (roczne i wieloletnie) przewidziane do realizacji w 2013 roku</t>
  </si>
  <si>
    <t>Zakup samochodów służbowych</t>
  </si>
  <si>
    <t>Opracowanie dokumentacji technicznej dla zadania "Stabilizacja jeziora Oświn, gm. Węgorzewo, woj. warmińsko-mazurskie"</t>
  </si>
  <si>
    <t>Wykonanie ekspertyzy technicznej obszarów zajętych przez wodę w wyniku podpiętrzenia jeziora Silickiego, Klebarskiego w ramach zadania "Stabilizacja jezior Silickiego i Klebarskiego poprzez odbudowę piętrzenia na Strudze Klebarskiej w miejscowości Silice, gm. Purda, woj. warmińsko-mazurskie"</t>
  </si>
  <si>
    <t>Przebudowa drogi wojewódzkiej nr 531 na odcinku Podlejki - Łęguty – likwidacja awarii drogowej</t>
  </si>
  <si>
    <t>710</t>
  </si>
  <si>
    <t>Działalność usługowa</t>
  </si>
  <si>
    <t>71003</t>
  </si>
  <si>
    <t>Biura planowania przestrzennego</t>
  </si>
  <si>
    <t>Zakup aktualizacji oprogramowania do projektowania MAPINFO</t>
  </si>
  <si>
    <t>Warmińsko-Mazurskie Biuro Planowania Przestrzennego w Olsztynie</t>
  </si>
  <si>
    <t>71005</t>
  </si>
  <si>
    <t>Prace geologiczne (nieinwestycyjne)</t>
  </si>
  <si>
    <t>Zakup programu do trójwymiarowego modelowania przepływu wód podziemnych, ciepła oraz transportu zanieczyszczeń</t>
  </si>
  <si>
    <t xml:space="preserve">Urząd Marszałkowski </t>
  </si>
  <si>
    <t>Opracowanie dokumentacji technicznej termomodernizacji budynków Szkoły Policealnej im. Prof. Zbigniewa Religi przy ul. Mariańskiej 3A w Olsztynie</t>
  </si>
  <si>
    <t>Rozbudowa infrastruktury edukacyjno-turystycznej na terenie PKPR i jego otuliny</t>
  </si>
  <si>
    <t xml:space="preserve">Zakup samochodu z przyczepą transportową wraz ze specjalistyczną aparaturą do pomiaru natężenia hałasu  </t>
  </si>
  <si>
    <t>Wykonanie rozbudowy wewnętrznej instalacji gazowej w budynku administracyjnym przy ul. E. Plater 1</t>
  </si>
  <si>
    <t>Rozbudowa drogi wojewódzkiej nr 527 na odcinku granica woj. - Rychliki</t>
  </si>
  <si>
    <t>Szkoła Policealna im. prof. Zbigniewa Religi w Olsztynie</t>
  </si>
  <si>
    <t>Welski Park Krajobrazowy Jeleń</t>
  </si>
  <si>
    <t xml:space="preserve">Zabezpieczenie przeciwpowodziowe miasta Gołdap, woj.. Warmińsko-mazurskie </t>
  </si>
  <si>
    <t>Park Krajobrazowy Wysoczyzny Elbląskiej w Elblągu</t>
  </si>
  <si>
    <r>
      <t xml:space="preserve">Planowane wydatki na inwestycje </t>
    </r>
    <r>
      <rPr>
        <b/>
        <u/>
        <sz val="10"/>
        <color rgb="FF00B050"/>
        <rFont val="Times New Roman"/>
        <family val="1"/>
        <charset val="238"/>
      </rPr>
      <t>wieloletnie</t>
    </r>
    <r>
      <rPr>
        <b/>
        <sz val="10"/>
        <color rgb="FF00B050"/>
        <rFont val="Times New Roman"/>
        <family val="1"/>
        <charset val="238"/>
      </rPr>
      <t xml:space="preserve"> przewidziane do realizacji 
w 2013 roku</t>
    </r>
  </si>
  <si>
    <r>
      <t xml:space="preserve">Wykonanie wydatków na inwestycje </t>
    </r>
    <r>
      <rPr>
        <b/>
        <u/>
        <sz val="10"/>
        <color rgb="FF00B050"/>
        <rFont val="Times New Roman"/>
        <family val="1"/>
        <charset val="238"/>
      </rPr>
      <t>wieloletnie</t>
    </r>
    <r>
      <rPr>
        <b/>
        <sz val="10"/>
        <color rgb="FF00B050"/>
        <rFont val="Times New Roman"/>
        <family val="1"/>
        <charset val="238"/>
      </rPr>
      <t xml:space="preserve"> przewidziane do realizacji 
w 2013 roku</t>
    </r>
  </si>
</sst>
</file>

<file path=xl/styles.xml><?xml version="1.0" encoding="utf-8"?>
<styleSheet xmlns="http://schemas.openxmlformats.org/spreadsheetml/2006/main">
  <fonts count="17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u/>
      <sz val="10"/>
      <color rgb="FF00B05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0000FF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3" fillId="0" borderId="0"/>
    <xf numFmtId="49" fontId="4" fillId="2" borderId="7" applyFont="0" applyAlignment="0">
      <alignment vertical="center" wrapText="1"/>
    </xf>
  </cellStyleXfs>
  <cellXfs count="193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vertical="top"/>
    </xf>
    <xf numFmtId="0" fontId="7" fillId="2" borderId="0" xfId="0" applyFont="1" applyFill="1" applyAlignment="1">
      <alignment horizontal="center" vertical="center"/>
    </xf>
    <xf numFmtId="3" fontId="8" fillId="2" borderId="0" xfId="0" applyNumberFormat="1" applyFont="1" applyFill="1" applyBorder="1" applyAlignment="1" applyProtection="1">
      <alignment horizontal="left" vertical="center"/>
      <protection locked="0"/>
    </xf>
    <xf numFmtId="0" fontId="9" fillId="2" borderId="0" xfId="0" applyFont="1" applyFill="1"/>
    <xf numFmtId="3" fontId="9" fillId="2" borderId="0" xfId="0" applyNumberFormat="1" applyFont="1" applyFill="1" applyBorder="1" applyAlignment="1" applyProtection="1">
      <alignment horizontal="left" vertical="center"/>
      <protection locked="0"/>
    </xf>
    <xf numFmtId="3" fontId="7" fillId="2" borderId="0" xfId="0" applyNumberFormat="1" applyFont="1" applyFill="1" applyBorder="1" applyAlignment="1" applyProtection="1">
      <alignment horizontal="left"/>
      <protection locked="0"/>
    </xf>
    <xf numFmtId="3" fontId="9" fillId="2" borderId="0" xfId="0" applyNumberFormat="1" applyFont="1" applyFill="1" applyBorder="1" applyAlignment="1" applyProtection="1">
      <alignment horizontal="left"/>
      <protection locked="0"/>
    </xf>
    <xf numFmtId="0" fontId="10" fillId="2" borderId="0" xfId="0" applyNumberFormat="1" applyFont="1" applyFill="1" applyBorder="1" applyAlignment="1" applyProtection="1">
      <alignment horizontal="center" vertical="center"/>
      <protection locked="0"/>
    </xf>
    <xf numFmtId="0" fontId="11" fillId="2" borderId="0" xfId="0" applyFont="1" applyFill="1"/>
    <xf numFmtId="0" fontId="7" fillId="2" borderId="0" xfId="0" applyFont="1" applyFill="1" applyAlignment="1">
      <alignment horizontal="left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vertical="top" wrapText="1"/>
    </xf>
    <xf numFmtId="3" fontId="13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49" fontId="14" fillId="2" borderId="3" xfId="0" applyNumberFormat="1" applyFont="1" applyFill="1" applyBorder="1" applyAlignment="1">
      <alignment vertical="center"/>
    </xf>
    <xf numFmtId="49" fontId="14" fillId="3" borderId="1" xfId="0" applyNumberFormat="1" applyFont="1" applyFill="1" applyBorder="1" applyAlignment="1">
      <alignment horizontal="center" vertical="center"/>
    </xf>
    <xf numFmtId="49" fontId="14" fillId="3" borderId="1" xfId="0" applyNumberFormat="1" applyFont="1" applyFill="1" applyBorder="1" applyAlignment="1">
      <alignment vertical="center" wrapText="1"/>
    </xf>
    <xf numFmtId="3" fontId="14" fillId="3" borderId="1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49" fontId="7" fillId="2" borderId="2" xfId="0" applyNumberFormat="1" applyFont="1" applyFill="1" applyBorder="1" applyAlignment="1">
      <alignment vertical="center"/>
    </xf>
    <xf numFmtId="49" fontId="7" fillId="2" borderId="2" xfId="0" applyNumberFormat="1" applyFont="1" applyFill="1" applyBorder="1" applyAlignment="1">
      <alignment vertical="top"/>
    </xf>
    <xf numFmtId="49" fontId="7" fillId="2" borderId="5" xfId="0" applyNumberFormat="1" applyFont="1" applyFill="1" applyBorder="1" applyAlignment="1">
      <alignment vertical="top" wrapText="1"/>
    </xf>
    <xf numFmtId="3" fontId="7" fillId="2" borderId="5" xfId="0" applyNumberFormat="1" applyFont="1" applyFill="1" applyBorder="1" applyAlignment="1">
      <alignment horizontal="right"/>
    </xf>
    <xf numFmtId="3" fontId="8" fillId="2" borderId="5" xfId="0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vertical="top" wrapText="1"/>
    </xf>
    <xf numFmtId="3" fontId="7" fillId="2" borderId="12" xfId="0" applyNumberFormat="1" applyFont="1" applyFill="1" applyBorder="1" applyAlignment="1">
      <alignment horizontal="right"/>
    </xf>
    <xf numFmtId="3" fontId="8" fillId="2" borderId="12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vertical="center" wrapText="1"/>
    </xf>
    <xf numFmtId="3" fontId="7" fillId="2" borderId="6" xfId="0" applyNumberFormat="1" applyFont="1" applyFill="1" applyBorder="1" applyAlignment="1">
      <alignment horizontal="right"/>
    </xf>
    <xf numFmtId="3" fontId="8" fillId="2" borderId="6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vertical="center" wrapText="1"/>
    </xf>
    <xf numFmtId="3" fontId="7" fillId="2" borderId="2" xfId="0" applyNumberFormat="1" applyFont="1" applyFill="1" applyBorder="1" applyAlignment="1">
      <alignment horizontal="right"/>
    </xf>
    <xf numFmtId="3" fontId="8" fillId="2" borderId="2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vertical="center" wrapText="1"/>
    </xf>
    <xf numFmtId="49" fontId="7" fillId="2" borderId="6" xfId="0" applyNumberFormat="1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vertical="center" wrapText="1"/>
    </xf>
    <xf numFmtId="3" fontId="7" fillId="2" borderId="7" xfId="0" applyNumberFormat="1" applyFont="1" applyFill="1" applyBorder="1" applyAlignment="1">
      <alignment horizontal="right" vertical="center"/>
    </xf>
    <xf numFmtId="3" fontId="7" fillId="2" borderId="7" xfId="0" applyNumberFormat="1" applyFont="1" applyFill="1" applyBorder="1" applyAlignment="1">
      <alignment horizontal="right"/>
    </xf>
    <xf numFmtId="3" fontId="8" fillId="2" borderId="7" xfId="0" applyNumberFormat="1" applyFont="1" applyFill="1" applyBorder="1" applyAlignment="1">
      <alignment horizontal="right" vertical="center"/>
    </xf>
    <xf numFmtId="3" fontId="8" fillId="2" borderId="16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vertical="center" wrapText="1"/>
    </xf>
    <xf numFmtId="3" fontId="14" fillId="2" borderId="1" xfId="0" applyNumberFormat="1" applyFont="1" applyFill="1" applyBorder="1" applyAlignment="1">
      <alignment horizontal="right" vertical="center"/>
    </xf>
    <xf numFmtId="3" fontId="14" fillId="2" borderId="5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vertical="center"/>
    </xf>
    <xf numFmtId="3" fontId="7" fillId="2" borderId="3" xfId="0" applyNumberFormat="1" applyFont="1" applyFill="1" applyBorder="1" applyAlignment="1">
      <alignment horizontal="right"/>
    </xf>
    <xf numFmtId="3" fontId="8" fillId="2" borderId="3" xfId="0" applyNumberFormat="1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49" fontId="8" fillId="2" borderId="2" xfId="1" applyNumberFormat="1" applyFont="1" applyFill="1" applyBorder="1" applyAlignment="1">
      <alignment vertical="center" wrapText="1"/>
    </xf>
    <xf numFmtId="49" fontId="8" fillId="2" borderId="6" xfId="1" applyNumberFormat="1" applyFont="1" applyFill="1" applyBorder="1" applyAlignment="1">
      <alignment vertical="center" wrapText="1"/>
    </xf>
    <xf numFmtId="3" fontId="8" fillId="2" borderId="11" xfId="0" applyNumberFormat="1" applyFont="1" applyFill="1" applyBorder="1" applyAlignment="1">
      <alignment horizontal="right"/>
    </xf>
    <xf numFmtId="3" fontId="8" fillId="2" borderId="7" xfId="0" applyNumberFormat="1" applyFont="1" applyFill="1" applyBorder="1" applyAlignment="1">
      <alignment horizontal="right"/>
    </xf>
    <xf numFmtId="49" fontId="7" fillId="2" borderId="11" xfId="0" applyNumberFormat="1" applyFont="1" applyFill="1" applyBorder="1" applyAlignment="1">
      <alignment vertical="top" wrapText="1"/>
    </xf>
    <xf numFmtId="3" fontId="7" fillId="2" borderId="11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vertical="center" wrapText="1"/>
    </xf>
    <xf numFmtId="3" fontId="14" fillId="2" borderId="4" xfId="0" applyNumberFormat="1" applyFont="1" applyFill="1" applyBorder="1" applyAlignment="1">
      <alignment horizontal="right" vertical="center"/>
    </xf>
    <xf numFmtId="0" fontId="14" fillId="2" borderId="4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7" fillId="2" borderId="4" xfId="0" applyNumberFormat="1" applyFont="1" applyFill="1" applyBorder="1" applyAlignment="1">
      <alignment vertical="top" wrapText="1"/>
    </xf>
    <xf numFmtId="3" fontId="7" fillId="2" borderId="4" xfId="0" applyNumberFormat="1" applyFont="1" applyFill="1" applyBorder="1" applyAlignment="1">
      <alignment horizontal="right"/>
    </xf>
    <xf numFmtId="3" fontId="8" fillId="2" borderId="4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3" fontId="13" fillId="2" borderId="5" xfId="0" applyNumberFormat="1" applyFont="1" applyFill="1" applyBorder="1" applyAlignment="1">
      <alignment horizontal="right"/>
    </xf>
    <xf numFmtId="49" fontId="14" fillId="2" borderId="1" xfId="0" applyNumberFormat="1" applyFont="1" applyFill="1" applyBorder="1" applyAlignment="1">
      <alignment horizontal="center" vertical="top"/>
    </xf>
    <xf numFmtId="49" fontId="14" fillId="2" borderId="1" xfId="0" applyNumberFormat="1" applyFont="1" applyFill="1" applyBorder="1" applyAlignment="1">
      <alignment vertical="top" wrapText="1"/>
    </xf>
    <xf numFmtId="49" fontId="7" fillId="2" borderId="4" xfId="0" applyNumberFormat="1" applyFont="1" applyFill="1" applyBorder="1" applyAlignment="1">
      <alignment vertical="center"/>
    </xf>
    <xf numFmtId="49" fontId="7" fillId="2" borderId="4" xfId="0" applyNumberFormat="1" applyFont="1" applyFill="1" applyBorder="1" applyAlignment="1">
      <alignment vertical="top"/>
    </xf>
    <xf numFmtId="3" fontId="13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3" fontId="7" fillId="2" borderId="5" xfId="3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vertical="top" wrapText="1"/>
    </xf>
    <xf numFmtId="3" fontId="7" fillId="2" borderId="2" xfId="0" applyNumberFormat="1" applyFont="1" applyFill="1" applyBorder="1" applyAlignment="1">
      <alignment horizontal="right" vertical="center"/>
    </xf>
    <xf numFmtId="3" fontId="7" fillId="2" borderId="6" xfId="3" applyNumberFormat="1" applyFont="1" applyFill="1" applyBorder="1" applyAlignment="1">
      <alignment horizontal="right" vertical="center"/>
    </xf>
    <xf numFmtId="3" fontId="8" fillId="2" borderId="2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vertical="top"/>
    </xf>
    <xf numFmtId="0" fontId="7" fillId="2" borderId="5" xfId="3" applyFont="1" applyFill="1" applyBorder="1" applyAlignment="1">
      <alignment horizontal="left" vertical="top" wrapText="1"/>
    </xf>
    <xf numFmtId="3" fontId="8" fillId="2" borderId="5" xfId="3" applyNumberFormat="1" applyFont="1" applyFill="1" applyBorder="1" applyAlignment="1">
      <alignment horizontal="right"/>
    </xf>
    <xf numFmtId="0" fontId="7" fillId="2" borderId="6" xfId="3" applyFont="1" applyFill="1" applyBorder="1" applyAlignment="1">
      <alignment horizontal="left" vertical="top" wrapText="1"/>
    </xf>
    <xf numFmtId="3" fontId="7" fillId="2" borderId="6" xfId="3" applyNumberFormat="1" applyFont="1" applyFill="1" applyBorder="1" applyAlignment="1">
      <alignment horizontal="right"/>
    </xf>
    <xf numFmtId="3" fontId="8" fillId="2" borderId="6" xfId="3" applyNumberFormat="1" applyFont="1" applyFill="1" applyBorder="1" applyAlignment="1">
      <alignment horizontal="right"/>
    </xf>
    <xf numFmtId="0" fontId="7" fillId="2" borderId="13" xfId="3" applyFont="1" applyFill="1" applyBorder="1" applyAlignment="1">
      <alignment horizontal="left" vertical="top" wrapText="1"/>
    </xf>
    <xf numFmtId="0" fontId="7" fillId="2" borderId="6" xfId="3" applyFont="1" applyFill="1" applyBorder="1" applyAlignment="1">
      <alignment horizontal="left" vertical="center" wrapText="1"/>
    </xf>
    <xf numFmtId="3" fontId="8" fillId="2" borderId="6" xfId="3" applyNumberFormat="1" applyFont="1" applyFill="1" applyBorder="1" applyAlignment="1">
      <alignment horizontal="right" vertical="center"/>
    </xf>
    <xf numFmtId="3" fontId="7" fillId="2" borderId="6" xfId="0" applyNumberFormat="1" applyFont="1" applyFill="1" applyBorder="1" applyAlignment="1">
      <alignment horizontal="right" vertical="center"/>
    </xf>
    <xf numFmtId="3" fontId="8" fillId="2" borderId="6" xfId="0" applyNumberFormat="1" applyFont="1" applyFill="1" applyBorder="1" applyAlignment="1">
      <alignment horizontal="right" vertical="center"/>
    </xf>
    <xf numFmtId="0" fontId="7" fillId="2" borderId="14" xfId="3" applyFont="1" applyFill="1" applyBorder="1" applyAlignment="1">
      <alignment horizontal="left" vertical="top" wrapText="1"/>
    </xf>
    <xf numFmtId="0" fontId="7" fillId="2" borderId="15" xfId="3" applyFont="1" applyFill="1" applyBorder="1" applyAlignment="1">
      <alignment horizontal="left" vertical="top" wrapText="1"/>
    </xf>
    <xf numFmtId="3" fontId="7" fillId="2" borderId="11" xfId="3" applyNumberFormat="1" applyFont="1" applyFill="1" applyBorder="1" applyAlignment="1">
      <alignment horizontal="right"/>
    </xf>
    <xf numFmtId="3" fontId="8" fillId="2" borderId="11" xfId="3" applyNumberFormat="1" applyFont="1" applyFill="1" applyBorder="1" applyAlignment="1">
      <alignment horizontal="right"/>
    </xf>
    <xf numFmtId="0" fontId="8" fillId="2" borderId="14" xfId="3" applyFont="1" applyFill="1" applyBorder="1" applyAlignment="1">
      <alignment horizontal="left" vertical="top" wrapText="1"/>
    </xf>
    <xf numFmtId="0" fontId="7" fillId="2" borderId="19" xfId="3" applyFont="1" applyFill="1" applyBorder="1" applyAlignment="1">
      <alignment horizontal="left" vertical="top" wrapText="1"/>
    </xf>
    <xf numFmtId="3" fontId="7" fillId="2" borderId="4" xfId="3" applyNumberFormat="1" applyFont="1" applyFill="1" applyBorder="1" applyAlignment="1">
      <alignment horizontal="right"/>
    </xf>
    <xf numFmtId="3" fontId="8" fillId="2" borderId="4" xfId="3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vertical="center" wrapText="1"/>
    </xf>
    <xf numFmtId="49" fontId="7" fillId="2" borderId="17" xfId="0" applyNumberFormat="1" applyFont="1" applyFill="1" applyBorder="1" applyAlignment="1">
      <alignment vertical="center"/>
    </xf>
    <xf numFmtId="49" fontId="7" fillId="2" borderId="17" xfId="0" applyNumberFormat="1" applyFont="1" applyFill="1" applyBorder="1" applyAlignment="1">
      <alignment horizontal="center" vertical="top"/>
    </xf>
    <xf numFmtId="0" fontId="7" fillId="2" borderId="11" xfId="3" applyFont="1" applyFill="1" applyBorder="1" applyAlignment="1">
      <alignment horizontal="left" vertical="top" wrapText="1"/>
    </xf>
    <xf numFmtId="0" fontId="8" fillId="2" borderId="14" xfId="3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3" fontId="7" fillId="2" borderId="6" xfId="1" applyNumberFormat="1" applyFont="1" applyFill="1" applyBorder="1" applyAlignment="1">
      <alignment horizontal="right" wrapText="1"/>
    </xf>
    <xf numFmtId="3" fontId="8" fillId="2" borderId="6" xfId="1" applyNumberFormat="1" applyFont="1" applyFill="1" applyBorder="1" applyAlignment="1">
      <alignment horizontal="right" wrapText="1"/>
    </xf>
    <xf numFmtId="3" fontId="7" fillId="2" borderId="6" xfId="1" applyNumberFormat="1" applyFont="1" applyFill="1" applyBorder="1" applyAlignment="1">
      <alignment horizontal="right" vertical="center" wrapText="1"/>
    </xf>
    <xf numFmtId="3" fontId="8" fillId="2" borderId="6" xfId="1" applyNumberFormat="1" applyFont="1" applyFill="1" applyBorder="1" applyAlignment="1">
      <alignment horizontal="right" vertical="center" wrapText="1"/>
    </xf>
    <xf numFmtId="0" fontId="7" fillId="2" borderId="4" xfId="1" applyFont="1" applyFill="1" applyBorder="1" applyAlignment="1">
      <alignment horizontal="left" vertical="center" wrapText="1"/>
    </xf>
    <xf numFmtId="3" fontId="7" fillId="2" borderId="4" xfId="1" applyNumberFormat="1" applyFont="1" applyFill="1" applyBorder="1" applyAlignment="1">
      <alignment horizontal="right" wrapText="1"/>
    </xf>
    <xf numFmtId="3" fontId="7" fillId="2" borderId="2" xfId="1" applyNumberFormat="1" applyFont="1" applyFill="1" applyBorder="1" applyAlignment="1">
      <alignment horizontal="right" wrapText="1"/>
    </xf>
    <xf numFmtId="3" fontId="8" fillId="2" borderId="4" xfId="1" applyNumberFormat="1" applyFont="1" applyFill="1" applyBorder="1" applyAlignment="1">
      <alignment horizontal="right" wrapText="1"/>
    </xf>
    <xf numFmtId="49" fontId="8" fillId="2" borderId="1" xfId="0" applyNumberFormat="1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right" vertical="center"/>
    </xf>
    <xf numFmtId="3" fontId="7" fillId="2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right" vertical="center"/>
    </xf>
    <xf numFmtId="3" fontId="7" fillId="2" borderId="7" xfId="0" applyNumberFormat="1" applyFont="1" applyFill="1" applyBorder="1" applyAlignment="1">
      <alignment horizontal="right" vertical="center" wrapText="1"/>
    </xf>
    <xf numFmtId="49" fontId="7" fillId="2" borderId="7" xfId="0" applyNumberFormat="1" applyFont="1" applyFill="1" applyBorder="1" applyAlignment="1">
      <alignment vertical="top" wrapText="1"/>
    </xf>
    <xf numFmtId="49" fontId="13" fillId="2" borderId="1" xfId="0" applyNumberFormat="1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top"/>
    </xf>
    <xf numFmtId="49" fontId="7" fillId="2" borderId="18" xfId="0" applyNumberFormat="1" applyFont="1" applyFill="1" applyBorder="1" applyAlignment="1">
      <alignment horizontal="center" vertical="top"/>
    </xf>
    <xf numFmtId="49" fontId="7" fillId="2" borderId="18" xfId="0" applyNumberFormat="1" applyFont="1" applyFill="1" applyBorder="1" applyAlignment="1">
      <alignment vertical="center" wrapText="1"/>
    </xf>
    <xf numFmtId="3" fontId="7" fillId="2" borderId="18" xfId="0" applyNumberFormat="1" applyFont="1" applyFill="1" applyBorder="1" applyAlignment="1">
      <alignment horizontal="right"/>
    </xf>
    <xf numFmtId="3" fontId="8" fillId="2" borderId="17" xfId="0" applyNumberFormat="1" applyFont="1" applyFill="1" applyBorder="1" applyAlignment="1">
      <alignment horizontal="right"/>
    </xf>
    <xf numFmtId="3" fontId="8" fillId="2" borderId="18" xfId="0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3" fontId="7" fillId="2" borderId="17" xfId="0" applyNumberFormat="1" applyFont="1" applyFill="1" applyBorder="1" applyAlignment="1">
      <alignment horizontal="right"/>
    </xf>
    <xf numFmtId="0" fontId="14" fillId="2" borderId="4" xfId="0" applyFont="1" applyFill="1" applyBorder="1" applyAlignment="1">
      <alignment horizontal="center" vertical="center"/>
    </xf>
    <xf numFmtId="49" fontId="7" fillId="2" borderId="17" xfId="0" applyNumberFormat="1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vertical="center" wrapText="1"/>
    </xf>
    <xf numFmtId="3" fontId="7" fillId="2" borderId="11" xfId="0" applyNumberFormat="1" applyFont="1" applyFill="1" applyBorder="1" applyAlignment="1">
      <alignment horizontal="right" vertical="center"/>
    </xf>
    <xf numFmtId="3" fontId="8" fillId="2" borderId="11" xfId="0" applyNumberFormat="1" applyFont="1" applyFill="1" applyBorder="1" applyAlignment="1">
      <alignment horizontal="right" vertical="center"/>
    </xf>
    <xf numFmtId="3" fontId="8" fillId="2" borderId="15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vertical="center" wrapText="1"/>
    </xf>
    <xf numFmtId="3" fontId="8" fillId="2" borderId="17" xfId="0" applyNumberFormat="1" applyFont="1" applyFill="1" applyBorder="1" applyAlignment="1">
      <alignment horizontal="right" vertical="center"/>
    </xf>
    <xf numFmtId="3" fontId="14" fillId="2" borderId="8" xfId="0" applyNumberFormat="1" applyFont="1" applyFill="1" applyBorder="1" applyAlignment="1">
      <alignment horizontal="right" vertical="center"/>
    </xf>
    <xf numFmtId="3" fontId="7" fillId="2" borderId="4" xfId="0" applyNumberFormat="1" applyFont="1" applyFill="1" applyBorder="1" applyAlignment="1">
      <alignment horizontal="right" vertical="center"/>
    </xf>
    <xf numFmtId="3" fontId="9" fillId="2" borderId="5" xfId="0" applyNumberFormat="1" applyFont="1" applyFill="1" applyBorder="1" applyAlignment="1">
      <alignment horizontal="right"/>
    </xf>
    <xf numFmtId="49" fontId="7" fillId="2" borderId="1" xfId="0" applyNumberFormat="1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horizontal="right" vertical="center"/>
    </xf>
    <xf numFmtId="49" fontId="7" fillId="2" borderId="4" xfId="0" applyNumberFormat="1" applyFont="1" applyFill="1" applyBorder="1" applyAlignment="1">
      <alignment vertical="center" wrapText="1"/>
    </xf>
    <xf numFmtId="3" fontId="8" fillId="2" borderId="4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 wrapText="1"/>
    </xf>
    <xf numFmtId="3" fontId="7" fillId="2" borderId="3" xfId="0" applyNumberFormat="1" applyFont="1" applyFill="1" applyBorder="1" applyAlignment="1">
      <alignment horizontal="right" vertical="center"/>
    </xf>
    <xf numFmtId="3" fontId="8" fillId="2" borderId="3" xfId="0" applyNumberFormat="1" applyFont="1" applyFill="1" applyBorder="1" applyAlignment="1">
      <alignment horizontal="right" vertical="center"/>
    </xf>
    <xf numFmtId="49" fontId="8" fillId="2" borderId="7" xfId="0" applyNumberFormat="1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center" vertical="top"/>
    </xf>
    <xf numFmtId="49" fontId="8" fillId="2" borderId="4" xfId="0" applyNumberFormat="1" applyFont="1" applyFill="1" applyBorder="1" applyAlignment="1">
      <alignment vertical="top" wrapText="1"/>
    </xf>
    <xf numFmtId="3" fontId="8" fillId="2" borderId="19" xfId="0" applyNumberFormat="1" applyFont="1" applyFill="1" applyBorder="1" applyAlignment="1">
      <alignment horizontal="right"/>
    </xf>
    <xf numFmtId="49" fontId="8" fillId="2" borderId="7" xfId="0" applyNumberFormat="1" applyFont="1" applyFill="1" applyBorder="1" applyAlignment="1">
      <alignment vertical="center" wrapText="1"/>
    </xf>
    <xf numFmtId="0" fontId="10" fillId="2" borderId="8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3" fontId="7" fillId="2" borderId="0" xfId="0" applyNumberFormat="1" applyFont="1" applyFill="1" applyAlignment="1">
      <alignment horizontal="right"/>
    </xf>
    <xf numFmtId="0" fontId="7" fillId="2" borderId="0" xfId="0" applyFont="1" applyFill="1" applyAlignment="1">
      <alignment horizontal="right" vertical="top"/>
    </xf>
    <xf numFmtId="3" fontId="7" fillId="2" borderId="0" xfId="0" applyNumberFormat="1" applyFont="1" applyFill="1"/>
    <xf numFmtId="3" fontId="9" fillId="2" borderId="0" xfId="0" applyNumberFormat="1" applyFont="1" applyFill="1"/>
    <xf numFmtId="0" fontId="7" fillId="2" borderId="0" xfId="0" applyFont="1" applyFill="1" applyBorder="1"/>
    <xf numFmtId="3" fontId="7" fillId="2" borderId="0" xfId="0" applyNumberFormat="1" applyFont="1" applyFill="1" applyBorder="1"/>
    <xf numFmtId="3" fontId="15" fillId="2" borderId="0" xfId="0" applyNumberFormat="1" applyFont="1" applyFill="1" applyBorder="1"/>
    <xf numFmtId="3" fontId="15" fillId="2" borderId="0" xfId="0" applyNumberFormat="1" applyFont="1" applyFill="1"/>
    <xf numFmtId="3" fontId="13" fillId="2" borderId="0" xfId="0" applyNumberFormat="1" applyFont="1" applyFill="1"/>
    <xf numFmtId="0" fontId="7" fillId="2" borderId="0" xfId="0" applyFont="1" applyFill="1" applyBorder="1" applyAlignment="1">
      <alignment horizontal="right" vertical="top"/>
    </xf>
    <xf numFmtId="3" fontId="9" fillId="2" borderId="0" xfId="0" applyNumberFormat="1" applyFont="1" applyFill="1" applyBorder="1"/>
  </cellXfs>
  <cellStyles count="5">
    <cellStyle name="Normalny" xfId="0" builtinId="0"/>
    <cellStyle name="Normalny 2 2" xfId="3"/>
    <cellStyle name="Normalny 3" xfId="1"/>
    <cellStyle name="Normalny 7" xfId="2"/>
    <cellStyle name="Styl 1" xfId="4"/>
  </cellStyles>
  <dxfs count="0"/>
  <tableStyles count="1" defaultTableStyle="TableStyleMedium9" defaultPivotStyle="PivotStyleLight16">
    <tableStyle name="Styl tabeli 1" pivot="0" count="0"/>
  </tableStyles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1"/>
  <sheetViews>
    <sheetView tabSelected="1" view="pageBreakPreview" zoomScaleNormal="100" zoomScaleSheetLayoutView="100" workbookViewId="0">
      <selection activeCell="C5" sqref="C5"/>
    </sheetView>
  </sheetViews>
  <sheetFormatPr defaultRowHeight="12.75"/>
  <cols>
    <col min="1" max="1" width="4.7109375" style="1" customWidth="1"/>
    <col min="2" max="2" width="7" style="1" customWidth="1"/>
    <col min="3" max="3" width="56.28515625" style="2" customWidth="1"/>
    <col min="4" max="4" width="14.28515625" style="1" customWidth="1"/>
    <col min="5" max="5" width="13.140625" style="1" customWidth="1"/>
    <col min="6" max="6" width="11.7109375" style="1" customWidth="1"/>
    <col min="7" max="7" width="11.28515625" style="1" bestFit="1" customWidth="1"/>
    <col min="8" max="8" width="10.140625" style="1" bestFit="1" customWidth="1"/>
    <col min="9" max="9" width="12" style="1" customWidth="1"/>
    <col min="10" max="10" width="12.28515625" style="1" customWidth="1"/>
    <col min="11" max="11" width="11.85546875" style="5" customWidth="1"/>
    <col min="12" max="12" width="11.28515625" style="5" bestFit="1" customWidth="1"/>
    <col min="13" max="13" width="10.140625" style="5" bestFit="1" customWidth="1"/>
    <col min="14" max="14" width="12.140625" style="5" customWidth="1"/>
    <col min="15" max="15" width="11.7109375" style="5" customWidth="1"/>
    <col min="16" max="16" width="20" style="3" customWidth="1"/>
    <col min="17" max="16384" width="9.140625" style="1"/>
  </cols>
  <sheetData>
    <row r="1" spans="1:16">
      <c r="K1" s="1"/>
      <c r="L1" s="1"/>
      <c r="M1" s="1"/>
      <c r="N1" s="1"/>
      <c r="O1" s="1" t="s">
        <v>152</v>
      </c>
    </row>
    <row r="2" spans="1:16">
      <c r="J2" s="4"/>
      <c r="O2" s="6"/>
    </row>
    <row r="3" spans="1:16">
      <c r="J3" s="4"/>
      <c r="O3" s="6"/>
    </row>
    <row r="4" spans="1:16">
      <c r="J4" s="4"/>
      <c r="O4" s="6"/>
    </row>
    <row r="5" spans="1:16">
      <c r="J5" s="4"/>
      <c r="O5" s="6"/>
    </row>
    <row r="8" spans="1:16">
      <c r="J8" s="7"/>
      <c r="O8" s="8"/>
    </row>
    <row r="9" spans="1:16" s="10" customFormat="1">
      <c r="A9" s="9" t="s">
        <v>158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1" spans="1:16">
      <c r="P11" s="11" t="s">
        <v>64</v>
      </c>
    </row>
    <row r="12" spans="1:16" s="14" customFormat="1" ht="18.75" customHeight="1">
      <c r="A12" s="12" t="s">
        <v>65</v>
      </c>
      <c r="B12" s="12" t="s">
        <v>0</v>
      </c>
      <c r="C12" s="12" t="s">
        <v>84</v>
      </c>
      <c r="D12" s="12" t="s">
        <v>182</v>
      </c>
      <c r="E12" s="12" t="s">
        <v>183</v>
      </c>
      <c r="F12" s="13" t="s">
        <v>150</v>
      </c>
      <c r="G12" s="13"/>
      <c r="H12" s="13"/>
      <c r="I12" s="13"/>
      <c r="J12" s="13"/>
      <c r="K12" s="13" t="s">
        <v>149</v>
      </c>
      <c r="L12" s="13"/>
      <c r="M12" s="13"/>
      <c r="N12" s="13"/>
      <c r="O12" s="13"/>
      <c r="P12" s="13" t="s">
        <v>3</v>
      </c>
    </row>
    <row r="13" spans="1:16" s="14" customFormat="1" ht="18.75" customHeight="1">
      <c r="A13" s="15"/>
      <c r="B13" s="15"/>
      <c r="C13" s="15"/>
      <c r="D13" s="15"/>
      <c r="E13" s="15"/>
      <c r="F13" s="15" t="s">
        <v>151</v>
      </c>
      <c r="G13" s="13" t="s">
        <v>1</v>
      </c>
      <c r="H13" s="13"/>
      <c r="I13" s="13"/>
      <c r="J13" s="13"/>
      <c r="K13" s="15" t="s">
        <v>148</v>
      </c>
      <c r="L13" s="13" t="s">
        <v>1</v>
      </c>
      <c r="M13" s="13"/>
      <c r="N13" s="13"/>
      <c r="O13" s="13"/>
      <c r="P13" s="13"/>
    </row>
    <row r="14" spans="1:16" s="14" customFormat="1" ht="60" customHeight="1">
      <c r="A14" s="16"/>
      <c r="B14" s="16"/>
      <c r="C14" s="16"/>
      <c r="D14" s="16"/>
      <c r="E14" s="16"/>
      <c r="F14" s="16"/>
      <c r="G14" s="17" t="s">
        <v>7</v>
      </c>
      <c r="H14" s="17" t="s">
        <v>10</v>
      </c>
      <c r="I14" s="17" t="s">
        <v>2</v>
      </c>
      <c r="J14" s="17" t="s">
        <v>6</v>
      </c>
      <c r="K14" s="16"/>
      <c r="L14" s="17" t="s">
        <v>7</v>
      </c>
      <c r="M14" s="17" t="s">
        <v>10</v>
      </c>
      <c r="N14" s="17" t="s">
        <v>2</v>
      </c>
      <c r="O14" s="17" t="s">
        <v>6</v>
      </c>
      <c r="P14" s="13"/>
    </row>
    <row r="15" spans="1:16" s="14" customFormat="1" ht="6.75" customHeight="1">
      <c r="A15" s="18">
        <v>1</v>
      </c>
      <c r="B15" s="18">
        <v>2</v>
      </c>
      <c r="C15" s="18">
        <v>3</v>
      </c>
      <c r="D15" s="18">
        <v>4</v>
      </c>
      <c r="E15" s="18">
        <v>5</v>
      </c>
      <c r="F15" s="18">
        <v>6</v>
      </c>
      <c r="G15" s="18">
        <v>7</v>
      </c>
      <c r="H15" s="18">
        <v>8</v>
      </c>
      <c r="I15" s="18">
        <v>9</v>
      </c>
      <c r="J15" s="18">
        <v>10</v>
      </c>
      <c r="K15" s="18">
        <v>11</v>
      </c>
      <c r="L15" s="18">
        <v>12</v>
      </c>
      <c r="M15" s="18">
        <v>13</v>
      </c>
      <c r="N15" s="18">
        <v>14</v>
      </c>
      <c r="O15" s="18">
        <v>15</v>
      </c>
      <c r="P15" s="18">
        <v>16</v>
      </c>
    </row>
    <row r="16" spans="1:16" s="23" customFormat="1" ht="14.25" customHeight="1">
      <c r="A16" s="19" t="s">
        <v>4</v>
      </c>
      <c r="B16" s="19"/>
      <c r="C16" s="20" t="s">
        <v>8</v>
      </c>
      <c r="D16" s="21">
        <f t="shared" ref="D16:O16" si="0">SUM(D17+D27+D39+D37)</f>
        <v>73702972</v>
      </c>
      <c r="E16" s="21">
        <f t="shared" si="0"/>
        <v>51232974</v>
      </c>
      <c r="F16" s="21">
        <f t="shared" si="0"/>
        <v>2017263</v>
      </c>
      <c r="G16" s="21">
        <f t="shared" si="0"/>
        <v>897123</v>
      </c>
      <c r="H16" s="21">
        <f t="shared" si="0"/>
        <v>1104000</v>
      </c>
      <c r="I16" s="21">
        <f t="shared" si="0"/>
        <v>16140</v>
      </c>
      <c r="J16" s="21">
        <f t="shared" si="0"/>
        <v>0</v>
      </c>
      <c r="K16" s="21">
        <f t="shared" si="0"/>
        <v>1994607</v>
      </c>
      <c r="L16" s="21">
        <f t="shared" si="0"/>
        <v>874467</v>
      </c>
      <c r="M16" s="21">
        <f t="shared" si="0"/>
        <v>1104000</v>
      </c>
      <c r="N16" s="21">
        <f t="shared" si="0"/>
        <v>16140</v>
      </c>
      <c r="O16" s="21">
        <f t="shared" si="0"/>
        <v>0</v>
      </c>
      <c r="P16" s="22"/>
    </row>
    <row r="17" spans="1:16" s="29" customFormat="1" ht="15.75" customHeight="1">
      <c r="A17" s="24"/>
      <c r="B17" s="25" t="s">
        <v>9</v>
      </c>
      <c r="C17" s="26" t="s">
        <v>46</v>
      </c>
      <c r="D17" s="27">
        <f t="shared" ref="D17:E17" si="1">SUM(D18:D25)</f>
        <v>0</v>
      </c>
      <c r="E17" s="27">
        <f t="shared" si="1"/>
        <v>0</v>
      </c>
      <c r="F17" s="27">
        <f>SUM(F18:F26)</f>
        <v>554500</v>
      </c>
      <c r="G17" s="27">
        <f>SUM(G18:G26)</f>
        <v>554500</v>
      </c>
      <c r="H17" s="27">
        <f t="shared" ref="H17:J17" si="2">SUM(H18:H26)</f>
        <v>0</v>
      </c>
      <c r="I17" s="27">
        <f t="shared" si="2"/>
        <v>0</v>
      </c>
      <c r="J17" s="27">
        <f t="shared" si="2"/>
        <v>0</v>
      </c>
      <c r="K17" s="27">
        <f t="shared" ref="K17" si="3">SUM(K18:K26)</f>
        <v>543436</v>
      </c>
      <c r="L17" s="27">
        <f t="shared" ref="L17" si="4">SUM(L18:L26)</f>
        <v>543436</v>
      </c>
      <c r="M17" s="27">
        <f t="shared" ref="M17" si="5">SUM(M18:M26)</f>
        <v>0</v>
      </c>
      <c r="N17" s="27">
        <f t="shared" ref="N17" si="6">SUM(N18:N26)</f>
        <v>0</v>
      </c>
      <c r="O17" s="27">
        <f t="shared" ref="O17" si="7">SUM(O18:O26)</f>
        <v>0</v>
      </c>
      <c r="P17" s="28"/>
    </row>
    <row r="18" spans="1:16" ht="39" customHeight="1">
      <c r="A18" s="30"/>
      <c r="B18" s="31"/>
      <c r="C18" s="32" t="s">
        <v>105</v>
      </c>
      <c r="D18" s="33">
        <v>0</v>
      </c>
      <c r="E18" s="33">
        <v>0</v>
      </c>
      <c r="F18" s="33">
        <f t="shared" ref="F18:F26" si="8">SUM(G18:J18)</f>
        <v>12000</v>
      </c>
      <c r="G18" s="33">
        <v>12000</v>
      </c>
      <c r="H18" s="33">
        <v>0</v>
      </c>
      <c r="I18" s="33">
        <v>0</v>
      </c>
      <c r="J18" s="33">
        <v>0</v>
      </c>
      <c r="K18" s="34">
        <f>SUM(L18:O18)</f>
        <v>12000</v>
      </c>
      <c r="L18" s="34">
        <v>12000</v>
      </c>
      <c r="M18" s="34">
        <v>0</v>
      </c>
      <c r="N18" s="34">
        <v>0</v>
      </c>
      <c r="O18" s="34">
        <v>0</v>
      </c>
      <c r="P18" s="35" t="s">
        <v>104</v>
      </c>
    </row>
    <row r="19" spans="1:16" ht="27.75" customHeight="1">
      <c r="A19" s="30"/>
      <c r="B19" s="31"/>
      <c r="C19" s="36" t="s">
        <v>133</v>
      </c>
      <c r="D19" s="37">
        <v>0</v>
      </c>
      <c r="E19" s="37">
        <v>0</v>
      </c>
      <c r="F19" s="37">
        <f t="shared" si="8"/>
        <v>40000</v>
      </c>
      <c r="G19" s="37">
        <v>40000</v>
      </c>
      <c r="H19" s="37">
        <v>0</v>
      </c>
      <c r="I19" s="37">
        <v>0</v>
      </c>
      <c r="J19" s="37">
        <v>0</v>
      </c>
      <c r="K19" s="38">
        <f t="shared" ref="K19:K85" si="9">SUM(L19:O19)</f>
        <v>39690</v>
      </c>
      <c r="L19" s="38">
        <v>39690</v>
      </c>
      <c r="M19" s="38">
        <v>0</v>
      </c>
      <c r="N19" s="38">
        <v>0</v>
      </c>
      <c r="O19" s="38">
        <v>0</v>
      </c>
      <c r="P19" s="39"/>
    </row>
    <row r="20" spans="1:16" ht="38.25">
      <c r="A20" s="30"/>
      <c r="B20" s="31"/>
      <c r="C20" s="40" t="s">
        <v>106</v>
      </c>
      <c r="D20" s="41">
        <f>7831390-7440251-391139</f>
        <v>0</v>
      </c>
      <c r="E20" s="41">
        <v>0</v>
      </c>
      <c r="F20" s="41">
        <f t="shared" ref="F20" si="10">SUM(G20:J20)</f>
        <v>35000</v>
      </c>
      <c r="G20" s="41">
        <v>35000</v>
      </c>
      <c r="H20" s="41">
        <v>0</v>
      </c>
      <c r="I20" s="41">
        <v>0</v>
      </c>
      <c r="J20" s="41">
        <v>0</v>
      </c>
      <c r="K20" s="38">
        <f t="shared" si="9"/>
        <v>34560</v>
      </c>
      <c r="L20" s="42">
        <v>34560</v>
      </c>
      <c r="M20" s="42">
        <v>0</v>
      </c>
      <c r="N20" s="42">
        <v>0</v>
      </c>
      <c r="O20" s="42">
        <v>0</v>
      </c>
      <c r="P20" s="39"/>
    </row>
    <row r="21" spans="1:16">
      <c r="A21" s="30"/>
      <c r="B21" s="31"/>
      <c r="C21" s="43" t="s">
        <v>159</v>
      </c>
      <c r="D21" s="44">
        <f>7831390-7440251-391139</f>
        <v>0</v>
      </c>
      <c r="E21" s="44">
        <v>0</v>
      </c>
      <c r="F21" s="44">
        <f t="shared" ref="F21" si="11">SUM(G21:J21)</f>
        <v>240000</v>
      </c>
      <c r="G21" s="44">
        <v>240000</v>
      </c>
      <c r="H21" s="44">
        <v>0</v>
      </c>
      <c r="I21" s="44">
        <v>0</v>
      </c>
      <c r="J21" s="44">
        <v>0</v>
      </c>
      <c r="K21" s="45">
        <f t="shared" si="9"/>
        <v>229780</v>
      </c>
      <c r="L21" s="45">
        <v>229780</v>
      </c>
      <c r="M21" s="45">
        <v>0</v>
      </c>
      <c r="N21" s="45">
        <v>0</v>
      </c>
      <c r="O21" s="45">
        <v>0</v>
      </c>
      <c r="P21" s="46"/>
    </row>
    <row r="22" spans="1:16" ht="27.75" customHeight="1">
      <c r="A22" s="30"/>
      <c r="B22" s="31"/>
      <c r="C22" s="47" t="s">
        <v>108</v>
      </c>
      <c r="D22" s="33">
        <v>0</v>
      </c>
      <c r="E22" s="33">
        <v>0</v>
      </c>
      <c r="F22" s="33">
        <f t="shared" si="8"/>
        <v>32000</v>
      </c>
      <c r="G22" s="33">
        <v>32000</v>
      </c>
      <c r="H22" s="33">
        <v>0</v>
      </c>
      <c r="I22" s="33">
        <v>0</v>
      </c>
      <c r="J22" s="33">
        <v>0</v>
      </c>
      <c r="K22" s="34">
        <f t="shared" si="9"/>
        <v>32673</v>
      </c>
      <c r="L22" s="34">
        <v>32673</v>
      </c>
      <c r="M22" s="34">
        <v>0</v>
      </c>
      <c r="N22" s="34">
        <v>0</v>
      </c>
      <c r="O22" s="34">
        <v>0</v>
      </c>
      <c r="P22" s="39" t="s">
        <v>107</v>
      </c>
    </row>
    <row r="23" spans="1:16" ht="27" customHeight="1">
      <c r="A23" s="30"/>
      <c r="B23" s="31"/>
      <c r="C23" s="48" t="s">
        <v>109</v>
      </c>
      <c r="D23" s="41">
        <v>0</v>
      </c>
      <c r="E23" s="41">
        <v>0</v>
      </c>
      <c r="F23" s="41">
        <f t="shared" si="8"/>
        <v>73500</v>
      </c>
      <c r="G23" s="41">
        <v>73500</v>
      </c>
      <c r="H23" s="41">
        <v>0</v>
      </c>
      <c r="I23" s="41">
        <v>0</v>
      </c>
      <c r="J23" s="41">
        <v>0</v>
      </c>
      <c r="K23" s="42">
        <f t="shared" si="9"/>
        <v>73278</v>
      </c>
      <c r="L23" s="42">
        <v>73278</v>
      </c>
      <c r="M23" s="42">
        <v>0</v>
      </c>
      <c r="N23" s="42">
        <v>0</v>
      </c>
      <c r="O23" s="42">
        <v>0</v>
      </c>
      <c r="P23" s="39"/>
    </row>
    <row r="24" spans="1:16" ht="27" customHeight="1">
      <c r="A24" s="30"/>
      <c r="B24" s="31"/>
      <c r="C24" s="36" t="s">
        <v>110</v>
      </c>
      <c r="D24" s="37">
        <v>0</v>
      </c>
      <c r="E24" s="37">
        <v>0</v>
      </c>
      <c r="F24" s="41">
        <f t="shared" si="8"/>
        <v>37000</v>
      </c>
      <c r="G24" s="37">
        <v>37000</v>
      </c>
      <c r="H24" s="37">
        <v>0</v>
      </c>
      <c r="I24" s="37">
        <v>0</v>
      </c>
      <c r="J24" s="37">
        <v>0</v>
      </c>
      <c r="K24" s="42">
        <f t="shared" si="9"/>
        <v>37975</v>
      </c>
      <c r="L24" s="38">
        <v>37975</v>
      </c>
      <c r="M24" s="38">
        <v>0</v>
      </c>
      <c r="N24" s="38">
        <v>0</v>
      </c>
      <c r="O24" s="38">
        <v>0</v>
      </c>
      <c r="P24" s="39"/>
    </row>
    <row r="25" spans="1:16" ht="26.25" customHeight="1">
      <c r="A25" s="30"/>
      <c r="B25" s="31"/>
      <c r="C25" s="36" t="s">
        <v>116</v>
      </c>
      <c r="D25" s="37">
        <v>0</v>
      </c>
      <c r="E25" s="37">
        <v>0</v>
      </c>
      <c r="F25" s="37">
        <f t="shared" si="8"/>
        <v>25000</v>
      </c>
      <c r="G25" s="37">
        <v>25000</v>
      </c>
      <c r="H25" s="37">
        <v>0</v>
      </c>
      <c r="I25" s="37">
        <v>0</v>
      </c>
      <c r="J25" s="37">
        <v>0</v>
      </c>
      <c r="K25" s="38">
        <f t="shared" si="9"/>
        <v>23490</v>
      </c>
      <c r="L25" s="38">
        <v>23490</v>
      </c>
      <c r="M25" s="38">
        <v>0</v>
      </c>
      <c r="N25" s="38">
        <v>0</v>
      </c>
      <c r="O25" s="38">
        <v>0</v>
      </c>
      <c r="P25" s="39"/>
    </row>
    <row r="26" spans="1:16">
      <c r="A26" s="30"/>
      <c r="B26" s="31"/>
      <c r="C26" s="49" t="s">
        <v>34</v>
      </c>
      <c r="D26" s="50">
        <v>0</v>
      </c>
      <c r="E26" s="50">
        <v>0</v>
      </c>
      <c r="F26" s="51">
        <f t="shared" si="8"/>
        <v>60000</v>
      </c>
      <c r="G26" s="50">
        <v>60000</v>
      </c>
      <c r="H26" s="50">
        <v>0</v>
      </c>
      <c r="I26" s="50">
        <v>0</v>
      </c>
      <c r="J26" s="50">
        <v>0</v>
      </c>
      <c r="K26" s="38">
        <f t="shared" si="9"/>
        <v>59990</v>
      </c>
      <c r="L26" s="52">
        <v>59990</v>
      </c>
      <c r="M26" s="52">
        <v>0</v>
      </c>
      <c r="N26" s="52">
        <v>0</v>
      </c>
      <c r="O26" s="53">
        <v>0</v>
      </c>
      <c r="P26" s="54"/>
    </row>
    <row r="27" spans="1:16" s="29" customFormat="1" ht="15.75" customHeight="1">
      <c r="A27" s="55"/>
      <c r="B27" s="56" t="s">
        <v>5</v>
      </c>
      <c r="C27" s="57" t="s">
        <v>47</v>
      </c>
      <c r="D27" s="58">
        <f t="shared" ref="D27:J27" si="12">SUM(D28:D36)</f>
        <v>73509972</v>
      </c>
      <c r="E27" s="58">
        <f t="shared" si="12"/>
        <v>51164150</v>
      </c>
      <c r="F27" s="58">
        <f t="shared" si="12"/>
        <v>1442763</v>
      </c>
      <c r="G27" s="58">
        <f t="shared" si="12"/>
        <v>322623</v>
      </c>
      <c r="H27" s="58">
        <f t="shared" si="12"/>
        <v>1104000</v>
      </c>
      <c r="I27" s="58">
        <f t="shared" si="12"/>
        <v>16140</v>
      </c>
      <c r="J27" s="58">
        <f t="shared" si="12"/>
        <v>0</v>
      </c>
      <c r="K27" s="59">
        <f>SUM(K28:K36)</f>
        <v>1442762</v>
      </c>
      <c r="L27" s="58">
        <f>SUM(L28:L36)</f>
        <v>322622</v>
      </c>
      <c r="M27" s="58">
        <f>SUM(M28:M36)</f>
        <v>1104000</v>
      </c>
      <c r="N27" s="58">
        <f>SUM(N28:N36)</f>
        <v>16140</v>
      </c>
      <c r="O27" s="58">
        <f>SUM(O28:O36)</f>
        <v>0</v>
      </c>
      <c r="P27" s="60"/>
    </row>
    <row r="28" spans="1:16" s="64" customFormat="1" ht="18.75" customHeight="1">
      <c r="A28" s="30"/>
      <c r="B28" s="61"/>
      <c r="C28" s="47" t="s">
        <v>11</v>
      </c>
      <c r="D28" s="33">
        <v>0</v>
      </c>
      <c r="E28" s="33">
        <v>0</v>
      </c>
      <c r="F28" s="62">
        <f t="shared" ref="F28:F36" si="13">SUM(G28:J28)</f>
        <v>692140</v>
      </c>
      <c r="G28" s="33">
        <v>0</v>
      </c>
      <c r="H28" s="33">
        <v>676000</v>
      </c>
      <c r="I28" s="33">
        <v>16140</v>
      </c>
      <c r="J28" s="33">
        <v>0</v>
      </c>
      <c r="K28" s="63">
        <f t="shared" si="9"/>
        <v>692140</v>
      </c>
      <c r="L28" s="34">
        <v>0</v>
      </c>
      <c r="M28" s="34">
        <v>676000</v>
      </c>
      <c r="N28" s="34">
        <v>16140</v>
      </c>
      <c r="O28" s="34">
        <v>0</v>
      </c>
      <c r="P28" s="35" t="s">
        <v>104</v>
      </c>
    </row>
    <row r="29" spans="1:16" s="64" customFormat="1" ht="18.75" customHeight="1">
      <c r="A29" s="30"/>
      <c r="B29" s="30"/>
      <c r="C29" s="40" t="s">
        <v>34</v>
      </c>
      <c r="D29" s="41">
        <v>0</v>
      </c>
      <c r="E29" s="41">
        <v>0</v>
      </c>
      <c r="F29" s="41">
        <f t="shared" si="13"/>
        <v>28000</v>
      </c>
      <c r="G29" s="41">
        <v>0</v>
      </c>
      <c r="H29" s="41">
        <v>28000</v>
      </c>
      <c r="I29" s="41">
        <v>0</v>
      </c>
      <c r="J29" s="41">
        <v>0</v>
      </c>
      <c r="K29" s="38">
        <f t="shared" si="9"/>
        <v>28000</v>
      </c>
      <c r="L29" s="42"/>
      <c r="M29" s="42">
        <v>28000</v>
      </c>
      <c r="N29" s="42">
        <v>0</v>
      </c>
      <c r="O29" s="42"/>
      <c r="P29" s="39"/>
    </row>
    <row r="30" spans="1:16" s="64" customFormat="1" ht="25.5">
      <c r="A30" s="30"/>
      <c r="B30" s="30"/>
      <c r="C30" s="65" t="s">
        <v>160</v>
      </c>
      <c r="D30" s="44">
        <v>0</v>
      </c>
      <c r="E30" s="44">
        <v>0</v>
      </c>
      <c r="F30" s="41">
        <f t="shared" si="13"/>
        <v>70110</v>
      </c>
      <c r="G30" s="44">
        <v>70110</v>
      </c>
      <c r="H30" s="44">
        <v>0</v>
      </c>
      <c r="I30" s="44">
        <v>0</v>
      </c>
      <c r="J30" s="44">
        <v>0</v>
      </c>
      <c r="K30" s="42">
        <f t="shared" si="9"/>
        <v>70110</v>
      </c>
      <c r="L30" s="45">
        <v>70110</v>
      </c>
      <c r="M30" s="45">
        <v>0</v>
      </c>
      <c r="N30" s="45">
        <v>0</v>
      </c>
      <c r="O30" s="45">
        <v>0</v>
      </c>
      <c r="P30" s="39"/>
    </row>
    <row r="31" spans="1:16" s="64" customFormat="1">
      <c r="A31" s="30"/>
      <c r="B31" s="30"/>
      <c r="C31" s="66" t="s">
        <v>161</v>
      </c>
      <c r="D31" s="41">
        <v>0</v>
      </c>
      <c r="E31" s="41">
        <v>0</v>
      </c>
      <c r="F31" s="41">
        <f t="shared" si="13"/>
        <v>24600</v>
      </c>
      <c r="G31" s="41">
        <v>24600</v>
      </c>
      <c r="H31" s="41">
        <v>0</v>
      </c>
      <c r="I31" s="41">
        <v>0</v>
      </c>
      <c r="J31" s="41">
        <v>0</v>
      </c>
      <c r="K31" s="67">
        <f t="shared" si="9"/>
        <v>24600</v>
      </c>
      <c r="L31" s="42">
        <v>24600</v>
      </c>
      <c r="M31" s="42">
        <v>0</v>
      </c>
      <c r="N31" s="42">
        <v>0</v>
      </c>
      <c r="O31" s="42">
        <v>0</v>
      </c>
      <c r="P31" s="39"/>
    </row>
    <row r="32" spans="1:16" s="64" customFormat="1" ht="25.5">
      <c r="A32" s="30"/>
      <c r="B32" s="30"/>
      <c r="C32" s="66" t="s">
        <v>180</v>
      </c>
      <c r="D32" s="41">
        <v>0</v>
      </c>
      <c r="E32" s="41">
        <v>0</v>
      </c>
      <c r="F32" s="41">
        <f t="shared" si="13"/>
        <v>227913</v>
      </c>
      <c r="G32" s="41">
        <v>227913</v>
      </c>
      <c r="H32" s="41">
        <v>0</v>
      </c>
      <c r="I32" s="41">
        <v>0</v>
      </c>
      <c r="J32" s="41">
        <v>0</v>
      </c>
      <c r="K32" s="67">
        <f t="shared" si="9"/>
        <v>227912</v>
      </c>
      <c r="L32" s="42">
        <v>227912</v>
      </c>
      <c r="M32" s="42">
        <v>0</v>
      </c>
      <c r="N32" s="42">
        <v>0</v>
      </c>
      <c r="O32" s="42"/>
      <c r="P32" s="39"/>
    </row>
    <row r="33" spans="1:16" s="64" customFormat="1" ht="20.25" customHeight="1">
      <c r="A33" s="30"/>
      <c r="B33" s="30"/>
      <c r="C33" s="49" t="s">
        <v>12</v>
      </c>
      <c r="D33" s="51">
        <v>18751000</v>
      </c>
      <c r="E33" s="51">
        <v>18742369</v>
      </c>
      <c r="F33" s="51">
        <f t="shared" si="13"/>
        <v>0</v>
      </c>
      <c r="G33" s="51">
        <v>0</v>
      </c>
      <c r="H33" s="51">
        <v>0</v>
      </c>
      <c r="I33" s="51">
        <v>0</v>
      </c>
      <c r="J33" s="51">
        <v>0</v>
      </c>
      <c r="K33" s="68">
        <f t="shared" si="9"/>
        <v>0</v>
      </c>
      <c r="L33" s="68">
        <v>0</v>
      </c>
      <c r="M33" s="68">
        <v>0</v>
      </c>
      <c r="N33" s="68">
        <v>0</v>
      </c>
      <c r="O33" s="68">
        <v>0</v>
      </c>
      <c r="P33" s="46"/>
    </row>
    <row r="34" spans="1:16" ht="27" customHeight="1">
      <c r="A34" s="30"/>
      <c r="B34" s="31"/>
      <c r="C34" s="69" t="s">
        <v>67</v>
      </c>
      <c r="D34" s="70">
        <v>31623972</v>
      </c>
      <c r="E34" s="70">
        <v>21689310</v>
      </c>
      <c r="F34" s="70">
        <f t="shared" si="13"/>
        <v>0</v>
      </c>
      <c r="G34" s="70">
        <v>0</v>
      </c>
      <c r="H34" s="70">
        <v>0</v>
      </c>
      <c r="I34" s="70">
        <v>0</v>
      </c>
      <c r="J34" s="70">
        <v>0</v>
      </c>
      <c r="K34" s="34">
        <f t="shared" si="9"/>
        <v>0</v>
      </c>
      <c r="L34" s="67">
        <v>0</v>
      </c>
      <c r="M34" s="67">
        <v>0</v>
      </c>
      <c r="N34" s="67">
        <v>0</v>
      </c>
      <c r="O34" s="67">
        <v>0</v>
      </c>
      <c r="P34" s="39" t="s">
        <v>107</v>
      </c>
    </row>
    <row r="35" spans="1:16" s="64" customFormat="1" ht="18.75" customHeight="1">
      <c r="A35" s="30"/>
      <c r="B35" s="30"/>
      <c r="C35" s="40" t="s">
        <v>11</v>
      </c>
      <c r="D35" s="41">
        <v>0</v>
      </c>
      <c r="E35" s="41">
        <v>0</v>
      </c>
      <c r="F35" s="41">
        <f t="shared" si="13"/>
        <v>400000</v>
      </c>
      <c r="G35" s="41">
        <v>0</v>
      </c>
      <c r="H35" s="41">
        <v>400000</v>
      </c>
      <c r="I35" s="41">
        <v>0</v>
      </c>
      <c r="J35" s="41">
        <v>0</v>
      </c>
      <c r="K35" s="42">
        <f t="shared" si="9"/>
        <v>400000</v>
      </c>
      <c r="L35" s="42">
        <v>0</v>
      </c>
      <c r="M35" s="42">
        <v>400000</v>
      </c>
      <c r="N35" s="42">
        <v>0</v>
      </c>
      <c r="O35" s="42">
        <v>0</v>
      </c>
      <c r="P35" s="39"/>
    </row>
    <row r="36" spans="1:16" s="64" customFormat="1" ht="18.75" customHeight="1">
      <c r="A36" s="71"/>
      <c r="B36" s="72"/>
      <c r="C36" s="49" t="s">
        <v>12</v>
      </c>
      <c r="D36" s="51">
        <v>23135000</v>
      </c>
      <c r="E36" s="51">
        <v>10732471</v>
      </c>
      <c r="F36" s="51">
        <f t="shared" si="13"/>
        <v>0</v>
      </c>
      <c r="G36" s="51">
        <v>0</v>
      </c>
      <c r="H36" s="51">
        <v>0</v>
      </c>
      <c r="I36" s="51">
        <v>0</v>
      </c>
      <c r="J36" s="51">
        <v>0</v>
      </c>
      <c r="K36" s="68">
        <f t="shared" si="9"/>
        <v>0</v>
      </c>
      <c r="L36" s="68">
        <v>0</v>
      </c>
      <c r="M36" s="68">
        <v>0</v>
      </c>
      <c r="N36" s="68">
        <v>0</v>
      </c>
      <c r="O36" s="68">
        <v>0</v>
      </c>
      <c r="P36" s="46"/>
    </row>
    <row r="37" spans="1:16" s="29" customFormat="1" ht="15.75" customHeight="1">
      <c r="A37" s="73"/>
      <c r="B37" s="74" t="s">
        <v>15</v>
      </c>
      <c r="C37" s="75" t="s">
        <v>66</v>
      </c>
      <c r="D37" s="76">
        <f t="shared" ref="D37:O37" si="14">SUM(D38:D38)</f>
        <v>193000</v>
      </c>
      <c r="E37" s="76">
        <f t="shared" si="14"/>
        <v>68824</v>
      </c>
      <c r="F37" s="76">
        <f t="shared" si="14"/>
        <v>0</v>
      </c>
      <c r="G37" s="76">
        <f t="shared" si="14"/>
        <v>0</v>
      </c>
      <c r="H37" s="76">
        <f t="shared" si="14"/>
        <v>0</v>
      </c>
      <c r="I37" s="76">
        <f t="shared" si="14"/>
        <v>0</v>
      </c>
      <c r="J37" s="76">
        <f t="shared" si="14"/>
        <v>0</v>
      </c>
      <c r="K37" s="59">
        <f t="shared" si="9"/>
        <v>0</v>
      </c>
      <c r="L37" s="76">
        <f t="shared" si="14"/>
        <v>0</v>
      </c>
      <c r="M37" s="76">
        <f t="shared" si="14"/>
        <v>0</v>
      </c>
      <c r="N37" s="76">
        <f t="shared" si="14"/>
        <v>0</v>
      </c>
      <c r="O37" s="76">
        <f t="shared" si="14"/>
        <v>0</v>
      </c>
      <c r="P37" s="77"/>
    </row>
    <row r="38" spans="1:16" ht="27" customHeight="1">
      <c r="A38" s="78"/>
      <c r="B38" s="78"/>
      <c r="C38" s="79" t="s">
        <v>86</v>
      </c>
      <c r="D38" s="80">
        <v>193000</v>
      </c>
      <c r="E38" s="80">
        <v>68824</v>
      </c>
      <c r="F38" s="80">
        <f>SUM(G38:J38)</f>
        <v>0</v>
      </c>
      <c r="G38" s="80">
        <v>0</v>
      </c>
      <c r="H38" s="80">
        <v>0</v>
      </c>
      <c r="I38" s="80">
        <v>0</v>
      </c>
      <c r="J38" s="80">
        <v>0</v>
      </c>
      <c r="K38" s="81">
        <f t="shared" si="9"/>
        <v>0</v>
      </c>
      <c r="L38" s="81">
        <v>0</v>
      </c>
      <c r="M38" s="81">
        <v>0</v>
      </c>
      <c r="N38" s="81">
        <v>0</v>
      </c>
      <c r="O38" s="81">
        <v>0</v>
      </c>
      <c r="P38" s="82" t="s">
        <v>14</v>
      </c>
    </row>
    <row r="39" spans="1:16" s="29" customFormat="1" ht="15.75" customHeight="1">
      <c r="A39" s="73"/>
      <c r="B39" s="74" t="s">
        <v>62</v>
      </c>
      <c r="C39" s="75" t="s">
        <v>63</v>
      </c>
      <c r="D39" s="76">
        <f t="shared" ref="D39:O39" si="15">D40</f>
        <v>0</v>
      </c>
      <c r="E39" s="76">
        <f t="shared" si="15"/>
        <v>0</v>
      </c>
      <c r="F39" s="76">
        <f t="shared" si="15"/>
        <v>20000</v>
      </c>
      <c r="G39" s="76">
        <f t="shared" si="15"/>
        <v>20000</v>
      </c>
      <c r="H39" s="76">
        <f t="shared" si="15"/>
        <v>0</v>
      </c>
      <c r="I39" s="76">
        <f t="shared" si="15"/>
        <v>0</v>
      </c>
      <c r="J39" s="76">
        <f t="shared" si="15"/>
        <v>0</v>
      </c>
      <c r="K39" s="76">
        <f t="shared" si="9"/>
        <v>8409</v>
      </c>
      <c r="L39" s="76">
        <f t="shared" si="15"/>
        <v>8409</v>
      </c>
      <c r="M39" s="76">
        <f t="shared" si="15"/>
        <v>0</v>
      </c>
      <c r="N39" s="76">
        <f t="shared" si="15"/>
        <v>0</v>
      </c>
      <c r="O39" s="76">
        <f t="shared" si="15"/>
        <v>0</v>
      </c>
      <c r="P39" s="77"/>
    </row>
    <row r="40" spans="1:16" ht="14.25" customHeight="1">
      <c r="A40" s="83"/>
      <c r="B40" s="84"/>
      <c r="C40" s="85" t="s">
        <v>34</v>
      </c>
      <c r="D40" s="86">
        <v>0</v>
      </c>
      <c r="E40" s="86"/>
      <c r="F40" s="86">
        <f>SUM(G40:J40)</f>
        <v>20000</v>
      </c>
      <c r="G40" s="86">
        <v>20000</v>
      </c>
      <c r="H40" s="86">
        <v>0</v>
      </c>
      <c r="I40" s="86">
        <v>0</v>
      </c>
      <c r="J40" s="86">
        <v>0</v>
      </c>
      <c r="K40" s="34">
        <f t="shared" si="9"/>
        <v>8409</v>
      </c>
      <c r="L40" s="87">
        <v>8409</v>
      </c>
      <c r="M40" s="87">
        <v>0</v>
      </c>
      <c r="N40" s="87">
        <v>0</v>
      </c>
      <c r="O40" s="87">
        <v>0</v>
      </c>
      <c r="P40" s="88" t="s">
        <v>14</v>
      </c>
    </row>
    <row r="41" spans="1:16" s="23" customFormat="1" ht="14.25" customHeight="1">
      <c r="A41" s="19" t="s">
        <v>16</v>
      </c>
      <c r="B41" s="19"/>
      <c r="C41" s="20" t="s">
        <v>48</v>
      </c>
      <c r="D41" s="21">
        <f t="shared" ref="D41:O41" si="16">D42</f>
        <v>42000</v>
      </c>
      <c r="E41" s="21">
        <f t="shared" si="16"/>
        <v>9348</v>
      </c>
      <c r="F41" s="21">
        <f t="shared" si="16"/>
        <v>0</v>
      </c>
      <c r="G41" s="21">
        <f t="shared" si="16"/>
        <v>0</v>
      </c>
      <c r="H41" s="21">
        <f t="shared" si="16"/>
        <v>0</v>
      </c>
      <c r="I41" s="21">
        <f t="shared" si="16"/>
        <v>0</v>
      </c>
      <c r="J41" s="21">
        <f t="shared" si="16"/>
        <v>0</v>
      </c>
      <c r="K41" s="89">
        <f t="shared" si="9"/>
        <v>0</v>
      </c>
      <c r="L41" s="21">
        <f t="shared" si="16"/>
        <v>0</v>
      </c>
      <c r="M41" s="21">
        <f t="shared" si="16"/>
        <v>0</v>
      </c>
      <c r="N41" s="21">
        <f t="shared" si="16"/>
        <v>0</v>
      </c>
      <c r="O41" s="21">
        <f t="shared" si="16"/>
        <v>0</v>
      </c>
      <c r="P41" s="22"/>
    </row>
    <row r="42" spans="1:16" s="29" customFormat="1" ht="27.75" customHeight="1">
      <c r="A42" s="24"/>
      <c r="B42" s="90" t="s">
        <v>17</v>
      </c>
      <c r="C42" s="91" t="s">
        <v>119</v>
      </c>
      <c r="D42" s="58">
        <f t="shared" ref="D42:O42" si="17">SUM(D43:D43)</f>
        <v>42000</v>
      </c>
      <c r="E42" s="58">
        <f t="shared" si="17"/>
        <v>9348</v>
      </c>
      <c r="F42" s="58">
        <f t="shared" si="17"/>
        <v>0</v>
      </c>
      <c r="G42" s="58">
        <f t="shared" si="17"/>
        <v>0</v>
      </c>
      <c r="H42" s="58">
        <f t="shared" si="17"/>
        <v>0</v>
      </c>
      <c r="I42" s="58">
        <f t="shared" si="17"/>
        <v>0</v>
      </c>
      <c r="J42" s="58">
        <f t="shared" si="17"/>
        <v>0</v>
      </c>
      <c r="K42" s="59">
        <f t="shared" si="9"/>
        <v>0</v>
      </c>
      <c r="L42" s="58">
        <f t="shared" si="17"/>
        <v>0</v>
      </c>
      <c r="M42" s="58">
        <f t="shared" si="17"/>
        <v>0</v>
      </c>
      <c r="N42" s="58">
        <f t="shared" si="17"/>
        <v>0</v>
      </c>
      <c r="O42" s="58">
        <f t="shared" si="17"/>
        <v>0</v>
      </c>
      <c r="P42" s="28"/>
    </row>
    <row r="43" spans="1:16" ht="38.25" customHeight="1">
      <c r="A43" s="92"/>
      <c r="B43" s="93"/>
      <c r="C43" s="79" t="s">
        <v>120</v>
      </c>
      <c r="D43" s="80">
        <v>42000</v>
      </c>
      <c r="E43" s="80">
        <v>9348</v>
      </c>
      <c r="F43" s="80">
        <f>SUM(G43:J43)</f>
        <v>0</v>
      </c>
      <c r="G43" s="80">
        <v>0</v>
      </c>
      <c r="H43" s="80">
        <v>0</v>
      </c>
      <c r="I43" s="80">
        <v>0</v>
      </c>
      <c r="J43" s="80">
        <v>0</v>
      </c>
      <c r="K43" s="81">
        <f t="shared" si="9"/>
        <v>0</v>
      </c>
      <c r="L43" s="81">
        <v>0</v>
      </c>
      <c r="M43" s="81">
        <v>0</v>
      </c>
      <c r="N43" s="81">
        <v>0</v>
      </c>
      <c r="O43" s="81">
        <v>0</v>
      </c>
      <c r="P43" s="82" t="s">
        <v>14</v>
      </c>
    </row>
    <row r="44" spans="1:16" s="96" customFormat="1" ht="14.25" customHeight="1">
      <c r="A44" s="19" t="s">
        <v>18</v>
      </c>
      <c r="B44" s="19"/>
      <c r="C44" s="20" t="s">
        <v>49</v>
      </c>
      <c r="D44" s="21">
        <f t="shared" ref="D44:J44" si="18">D45+D48+D84+D86+D80</f>
        <v>411079484</v>
      </c>
      <c r="E44" s="21">
        <f t="shared" si="18"/>
        <v>408978774</v>
      </c>
      <c r="F44" s="21">
        <f t="shared" si="18"/>
        <v>6685167</v>
      </c>
      <c r="G44" s="21">
        <f t="shared" si="18"/>
        <v>6186695</v>
      </c>
      <c r="H44" s="21">
        <f t="shared" si="18"/>
        <v>0</v>
      </c>
      <c r="I44" s="21">
        <f t="shared" si="18"/>
        <v>498472</v>
      </c>
      <c r="J44" s="21">
        <f t="shared" si="18"/>
        <v>0</v>
      </c>
      <c r="K44" s="94">
        <f t="shared" si="9"/>
        <v>6623481</v>
      </c>
      <c r="L44" s="21">
        <f>L45+L48+L84+L86+L80</f>
        <v>6181384</v>
      </c>
      <c r="M44" s="21">
        <f>M45+M48+M84+M86+M80</f>
        <v>0</v>
      </c>
      <c r="N44" s="21">
        <f>N45+N48+N84+N86+N80</f>
        <v>442097</v>
      </c>
      <c r="O44" s="21">
        <f>O45+O48+O84+O86+O80</f>
        <v>0</v>
      </c>
      <c r="P44" s="95"/>
    </row>
    <row r="45" spans="1:16" s="29" customFormat="1" ht="15.75" customHeight="1">
      <c r="A45" s="24"/>
      <c r="B45" s="90" t="s">
        <v>19</v>
      </c>
      <c r="C45" s="91" t="s">
        <v>50</v>
      </c>
      <c r="D45" s="58">
        <f t="shared" ref="D45:J45" si="19">SUM(D46:D47)</f>
        <v>8745929</v>
      </c>
      <c r="E45" s="58">
        <f t="shared" si="19"/>
        <v>8300167</v>
      </c>
      <c r="F45" s="58">
        <f t="shared" si="19"/>
        <v>0</v>
      </c>
      <c r="G45" s="58">
        <f t="shared" si="19"/>
        <v>0</v>
      </c>
      <c r="H45" s="58">
        <f t="shared" si="19"/>
        <v>0</v>
      </c>
      <c r="I45" s="58">
        <f t="shared" si="19"/>
        <v>0</v>
      </c>
      <c r="J45" s="58">
        <f t="shared" si="19"/>
        <v>0</v>
      </c>
      <c r="K45" s="59">
        <f t="shared" si="9"/>
        <v>0</v>
      </c>
      <c r="L45" s="58">
        <f t="shared" ref="L45:O45" si="20">SUM(L46:L47)</f>
        <v>0</v>
      </c>
      <c r="M45" s="58">
        <f t="shared" si="20"/>
        <v>0</v>
      </c>
      <c r="N45" s="58">
        <f t="shared" si="20"/>
        <v>0</v>
      </c>
      <c r="O45" s="58">
        <f t="shared" si="20"/>
        <v>0</v>
      </c>
      <c r="P45" s="28"/>
    </row>
    <row r="46" spans="1:16" ht="27.75" customHeight="1">
      <c r="A46" s="30"/>
      <c r="B46" s="31"/>
      <c r="C46" s="69" t="s">
        <v>121</v>
      </c>
      <c r="D46" s="70">
        <v>4231012</v>
      </c>
      <c r="E46" s="67">
        <v>4231012</v>
      </c>
      <c r="F46" s="97">
        <f t="shared" ref="F46" si="21">SUM(G46:J46)</f>
        <v>0</v>
      </c>
      <c r="G46" s="70">
        <v>0</v>
      </c>
      <c r="H46" s="70">
        <v>0</v>
      </c>
      <c r="I46" s="70">
        <v>0</v>
      </c>
      <c r="J46" s="70">
        <v>0</v>
      </c>
      <c r="K46" s="34">
        <f t="shared" si="9"/>
        <v>0</v>
      </c>
      <c r="L46" s="67">
        <v>0</v>
      </c>
      <c r="M46" s="67">
        <v>0</v>
      </c>
      <c r="N46" s="67">
        <v>0</v>
      </c>
      <c r="O46" s="67">
        <v>0</v>
      </c>
      <c r="P46" s="39" t="s">
        <v>14</v>
      </c>
    </row>
    <row r="47" spans="1:16" s="64" customFormat="1" ht="15" customHeight="1">
      <c r="A47" s="30"/>
      <c r="B47" s="30"/>
      <c r="C47" s="98" t="s">
        <v>131</v>
      </c>
      <c r="D47" s="99">
        <v>4514917</v>
      </c>
      <c r="E47" s="99">
        <v>4069155</v>
      </c>
      <c r="F47" s="100">
        <f t="shared" ref="F47:F79" si="22">SUM(G47:J47)</f>
        <v>0</v>
      </c>
      <c r="G47" s="99">
        <v>0</v>
      </c>
      <c r="H47" s="99">
        <v>0</v>
      </c>
      <c r="I47" s="99">
        <v>0</v>
      </c>
      <c r="J47" s="99">
        <v>0</v>
      </c>
      <c r="K47" s="52">
        <f t="shared" si="9"/>
        <v>0</v>
      </c>
      <c r="L47" s="101">
        <v>0</v>
      </c>
      <c r="M47" s="101">
        <v>0</v>
      </c>
      <c r="N47" s="101">
        <v>0</v>
      </c>
      <c r="O47" s="101">
        <v>0</v>
      </c>
      <c r="P47" s="39"/>
    </row>
    <row r="48" spans="1:16" s="29" customFormat="1" ht="15.75" customHeight="1">
      <c r="A48" s="55"/>
      <c r="B48" s="90" t="s">
        <v>20</v>
      </c>
      <c r="C48" s="91" t="s">
        <v>51</v>
      </c>
      <c r="D48" s="58">
        <f t="shared" ref="D48:J48" si="23">SUM(D49:D79)</f>
        <v>373564981</v>
      </c>
      <c r="E48" s="58">
        <f t="shared" si="23"/>
        <v>373479174</v>
      </c>
      <c r="F48" s="58">
        <f t="shared" si="23"/>
        <v>6381695</v>
      </c>
      <c r="G48" s="58">
        <f t="shared" si="23"/>
        <v>6186695</v>
      </c>
      <c r="H48" s="58">
        <f t="shared" si="23"/>
        <v>0</v>
      </c>
      <c r="I48" s="58">
        <f t="shared" si="23"/>
        <v>195000</v>
      </c>
      <c r="J48" s="58">
        <f t="shared" si="23"/>
        <v>0</v>
      </c>
      <c r="K48" s="59">
        <f t="shared" si="9"/>
        <v>6369728</v>
      </c>
      <c r="L48" s="58">
        <f>SUM(L49:L79)</f>
        <v>6181384</v>
      </c>
      <c r="M48" s="58">
        <f>SUM(M49:M79)</f>
        <v>0</v>
      </c>
      <c r="N48" s="58">
        <f>SUM(N49:N79)</f>
        <v>188344</v>
      </c>
      <c r="O48" s="58">
        <f>SUM(O49:O79)</f>
        <v>0</v>
      </c>
      <c r="P48" s="28"/>
    </row>
    <row r="49" spans="1:16" ht="39" customHeight="1">
      <c r="A49" s="30"/>
      <c r="B49" s="102"/>
      <c r="C49" s="103" t="s">
        <v>70</v>
      </c>
      <c r="D49" s="97">
        <v>909643</v>
      </c>
      <c r="E49" s="104">
        <v>909643</v>
      </c>
      <c r="F49" s="97">
        <f t="shared" si="22"/>
        <v>0</v>
      </c>
      <c r="G49" s="97">
        <v>0</v>
      </c>
      <c r="H49" s="33">
        <v>0</v>
      </c>
      <c r="I49" s="33">
        <v>0</v>
      </c>
      <c r="J49" s="33">
        <v>0</v>
      </c>
      <c r="K49" s="34">
        <f t="shared" si="9"/>
        <v>0</v>
      </c>
      <c r="L49" s="104">
        <v>0</v>
      </c>
      <c r="M49" s="34">
        <v>0</v>
      </c>
      <c r="N49" s="34">
        <v>0</v>
      </c>
      <c r="O49" s="34">
        <v>0</v>
      </c>
      <c r="P49" s="35" t="s">
        <v>153</v>
      </c>
    </row>
    <row r="50" spans="1:16" ht="41.25" hidden="1" customHeight="1">
      <c r="A50" s="30"/>
      <c r="B50" s="31"/>
      <c r="C50" s="105" t="s">
        <v>71</v>
      </c>
      <c r="D50" s="106">
        <f>3000000-3000000</f>
        <v>0</v>
      </c>
      <c r="E50" s="106"/>
      <c r="F50" s="106">
        <f t="shared" si="22"/>
        <v>0</v>
      </c>
      <c r="G50" s="106">
        <v>0</v>
      </c>
      <c r="H50" s="41">
        <v>0</v>
      </c>
      <c r="I50" s="41">
        <v>0</v>
      </c>
      <c r="J50" s="41">
        <v>0</v>
      </c>
      <c r="K50" s="42">
        <f t="shared" si="9"/>
        <v>0</v>
      </c>
      <c r="L50" s="107">
        <v>0</v>
      </c>
      <c r="M50" s="42">
        <v>0</v>
      </c>
      <c r="N50" s="42">
        <v>0</v>
      </c>
      <c r="O50" s="42">
        <v>0</v>
      </c>
      <c r="P50" s="39"/>
    </row>
    <row r="51" spans="1:16" ht="51.75" customHeight="1">
      <c r="A51" s="30"/>
      <c r="B51" s="83"/>
      <c r="C51" s="108" t="s">
        <v>112</v>
      </c>
      <c r="D51" s="106">
        <v>0</v>
      </c>
      <c r="E51" s="106">
        <v>0</v>
      </c>
      <c r="F51" s="106">
        <f t="shared" si="22"/>
        <v>1648675</v>
      </c>
      <c r="G51" s="106">
        <v>1648675</v>
      </c>
      <c r="H51" s="41">
        <v>0</v>
      </c>
      <c r="I51" s="41">
        <v>0</v>
      </c>
      <c r="J51" s="41">
        <v>0</v>
      </c>
      <c r="K51" s="42">
        <f t="shared" si="9"/>
        <v>1648674</v>
      </c>
      <c r="L51" s="107">
        <f>1328319+320355</f>
        <v>1648674</v>
      </c>
      <c r="M51" s="42">
        <v>0</v>
      </c>
      <c r="N51" s="42">
        <v>0</v>
      </c>
      <c r="O51" s="42">
        <v>0</v>
      </c>
      <c r="P51" s="39"/>
    </row>
    <row r="52" spans="1:16" s="64" customFormat="1" ht="15.75" customHeight="1">
      <c r="A52" s="30"/>
      <c r="B52" s="71"/>
      <c r="C52" s="109" t="s">
        <v>72</v>
      </c>
      <c r="D52" s="100">
        <v>2632157</v>
      </c>
      <c r="E52" s="110">
        <f>1798267+829670</f>
        <v>2627937</v>
      </c>
      <c r="F52" s="100">
        <f t="shared" si="22"/>
        <v>0</v>
      </c>
      <c r="G52" s="100">
        <v>0</v>
      </c>
      <c r="H52" s="111">
        <v>0</v>
      </c>
      <c r="I52" s="111">
        <v>0</v>
      </c>
      <c r="J52" s="111">
        <v>0</v>
      </c>
      <c r="K52" s="112">
        <f t="shared" si="9"/>
        <v>0</v>
      </c>
      <c r="L52" s="110">
        <v>0</v>
      </c>
      <c r="M52" s="112">
        <v>0</v>
      </c>
      <c r="N52" s="112">
        <v>0</v>
      </c>
      <c r="O52" s="112">
        <v>0</v>
      </c>
      <c r="P52" s="39"/>
    </row>
    <row r="53" spans="1:16" s="64" customFormat="1" ht="42.75" customHeight="1">
      <c r="A53" s="30"/>
      <c r="B53" s="71"/>
      <c r="C53" s="109" t="s">
        <v>132</v>
      </c>
      <c r="D53" s="106">
        <f>400000-400000</f>
        <v>0</v>
      </c>
      <c r="E53" s="106">
        <v>0</v>
      </c>
      <c r="F53" s="106">
        <f t="shared" si="22"/>
        <v>1183020</v>
      </c>
      <c r="G53" s="106">
        <v>1183020</v>
      </c>
      <c r="H53" s="41">
        <v>0</v>
      </c>
      <c r="I53" s="41">
        <v>0</v>
      </c>
      <c r="J53" s="41">
        <v>0</v>
      </c>
      <c r="K53" s="42">
        <f t="shared" si="9"/>
        <v>1178024</v>
      </c>
      <c r="L53" s="107">
        <f>1177235+789</f>
        <v>1178024</v>
      </c>
      <c r="M53" s="42">
        <v>0</v>
      </c>
      <c r="N53" s="42">
        <v>0</v>
      </c>
      <c r="O53" s="42">
        <v>0</v>
      </c>
      <c r="P53" s="39"/>
    </row>
    <row r="54" spans="1:16" s="64" customFormat="1" ht="17.25" customHeight="1">
      <c r="A54" s="30"/>
      <c r="B54" s="71"/>
      <c r="C54" s="109" t="s">
        <v>113</v>
      </c>
      <c r="D54" s="100">
        <v>0</v>
      </c>
      <c r="E54" s="100">
        <v>0</v>
      </c>
      <c r="F54" s="100">
        <f t="shared" si="22"/>
        <v>135000</v>
      </c>
      <c r="G54" s="100">
        <v>100000</v>
      </c>
      <c r="H54" s="111">
        <v>0</v>
      </c>
      <c r="I54" s="111">
        <v>35000</v>
      </c>
      <c r="J54" s="111">
        <v>0</v>
      </c>
      <c r="K54" s="112">
        <f t="shared" si="9"/>
        <v>134574</v>
      </c>
      <c r="L54" s="110">
        <v>100000</v>
      </c>
      <c r="M54" s="112">
        <v>0</v>
      </c>
      <c r="N54" s="112">
        <v>34574</v>
      </c>
      <c r="O54" s="112">
        <v>0</v>
      </c>
      <c r="P54" s="39"/>
    </row>
    <row r="55" spans="1:16" ht="26.25" customHeight="1">
      <c r="A55" s="30"/>
      <c r="B55" s="83"/>
      <c r="C55" s="105" t="s">
        <v>115</v>
      </c>
      <c r="D55" s="106">
        <v>329154</v>
      </c>
      <c r="E55" s="106">
        <v>329153</v>
      </c>
      <c r="F55" s="106">
        <f t="shared" si="22"/>
        <v>0</v>
      </c>
      <c r="G55" s="106">
        <v>0</v>
      </c>
      <c r="H55" s="41">
        <v>0</v>
      </c>
      <c r="I55" s="41">
        <v>0</v>
      </c>
      <c r="J55" s="41">
        <v>0</v>
      </c>
      <c r="K55" s="42">
        <f t="shared" si="9"/>
        <v>0</v>
      </c>
      <c r="L55" s="107">
        <v>0</v>
      </c>
      <c r="M55" s="42">
        <v>0</v>
      </c>
      <c r="N55" s="42">
        <v>0</v>
      </c>
      <c r="O55" s="42">
        <v>0</v>
      </c>
      <c r="P55" s="39"/>
    </row>
    <row r="56" spans="1:16" ht="26.25" customHeight="1">
      <c r="A56" s="30"/>
      <c r="B56" s="83"/>
      <c r="C56" s="113" t="s">
        <v>21</v>
      </c>
      <c r="D56" s="106">
        <v>43712326</v>
      </c>
      <c r="E56" s="106">
        <f>28121073+15591252</f>
        <v>43712325</v>
      </c>
      <c r="F56" s="106">
        <f t="shared" si="22"/>
        <v>0</v>
      </c>
      <c r="G56" s="106">
        <v>0</v>
      </c>
      <c r="H56" s="41">
        <v>0</v>
      </c>
      <c r="I56" s="41">
        <v>0</v>
      </c>
      <c r="J56" s="41">
        <v>0</v>
      </c>
      <c r="K56" s="42">
        <f t="shared" si="9"/>
        <v>0</v>
      </c>
      <c r="L56" s="107">
        <v>0</v>
      </c>
      <c r="M56" s="42">
        <v>0</v>
      </c>
      <c r="N56" s="42">
        <v>0</v>
      </c>
      <c r="O56" s="42">
        <v>0</v>
      </c>
      <c r="P56" s="39"/>
    </row>
    <row r="57" spans="1:16" ht="27" customHeight="1">
      <c r="A57" s="30"/>
      <c r="B57" s="83"/>
      <c r="C57" s="113" t="s">
        <v>22</v>
      </c>
      <c r="D57" s="106">
        <v>51054218</v>
      </c>
      <c r="E57" s="106">
        <f>48430415+2614142</f>
        <v>51044557</v>
      </c>
      <c r="F57" s="106">
        <f t="shared" si="22"/>
        <v>0</v>
      </c>
      <c r="G57" s="106">
        <v>0</v>
      </c>
      <c r="H57" s="41">
        <v>0</v>
      </c>
      <c r="I57" s="41">
        <v>0</v>
      </c>
      <c r="J57" s="41">
        <v>0</v>
      </c>
      <c r="K57" s="42">
        <f t="shared" si="9"/>
        <v>0</v>
      </c>
      <c r="L57" s="107">
        <v>0</v>
      </c>
      <c r="M57" s="42">
        <v>0</v>
      </c>
      <c r="N57" s="42">
        <v>0</v>
      </c>
      <c r="O57" s="42">
        <v>0</v>
      </c>
      <c r="P57" s="39"/>
    </row>
    <row r="58" spans="1:16" ht="27" customHeight="1">
      <c r="A58" s="30"/>
      <c r="B58" s="83"/>
      <c r="C58" s="113" t="s">
        <v>23</v>
      </c>
      <c r="D58" s="107">
        <v>352962</v>
      </c>
      <c r="E58" s="107">
        <v>352961</v>
      </c>
      <c r="F58" s="106">
        <f t="shared" si="22"/>
        <v>0</v>
      </c>
      <c r="G58" s="106">
        <v>0</v>
      </c>
      <c r="H58" s="41">
        <v>0</v>
      </c>
      <c r="I58" s="41">
        <v>0</v>
      </c>
      <c r="J58" s="41">
        <v>0</v>
      </c>
      <c r="K58" s="42">
        <f t="shared" si="9"/>
        <v>0</v>
      </c>
      <c r="L58" s="107">
        <v>0</v>
      </c>
      <c r="M58" s="42">
        <v>0</v>
      </c>
      <c r="N58" s="42">
        <v>0</v>
      </c>
      <c r="O58" s="42">
        <v>0</v>
      </c>
      <c r="P58" s="39"/>
    </row>
    <row r="59" spans="1:16" ht="18.75" customHeight="1">
      <c r="A59" s="30"/>
      <c r="B59" s="83"/>
      <c r="C59" s="113" t="s">
        <v>129</v>
      </c>
      <c r="D59" s="106">
        <v>31709994</v>
      </c>
      <c r="E59" s="106">
        <f>27137410+4530366</f>
        <v>31667776</v>
      </c>
      <c r="F59" s="106">
        <f t="shared" ref="F59:F60" si="24">SUM(G59:J59)</f>
        <v>0</v>
      </c>
      <c r="G59" s="106">
        <v>0</v>
      </c>
      <c r="H59" s="41">
        <v>0</v>
      </c>
      <c r="I59" s="41">
        <v>0</v>
      </c>
      <c r="J59" s="41">
        <v>0</v>
      </c>
      <c r="K59" s="42">
        <f t="shared" si="9"/>
        <v>0</v>
      </c>
      <c r="L59" s="107">
        <v>0</v>
      </c>
      <c r="M59" s="42">
        <v>0</v>
      </c>
      <c r="N59" s="42">
        <v>0</v>
      </c>
      <c r="O59" s="42">
        <v>0</v>
      </c>
      <c r="P59" s="39"/>
    </row>
    <row r="60" spans="1:16" ht="27" customHeight="1">
      <c r="A60" s="30"/>
      <c r="B60" s="83"/>
      <c r="C60" s="113" t="s">
        <v>130</v>
      </c>
      <c r="D60" s="106">
        <v>1896091</v>
      </c>
      <c r="E60" s="106">
        <f>1543785+348108</f>
        <v>1891893</v>
      </c>
      <c r="F60" s="106">
        <f t="shared" si="24"/>
        <v>0</v>
      </c>
      <c r="G60" s="106">
        <v>0</v>
      </c>
      <c r="H60" s="41">
        <v>0</v>
      </c>
      <c r="I60" s="41">
        <v>0</v>
      </c>
      <c r="J60" s="41">
        <v>0</v>
      </c>
      <c r="K60" s="42">
        <f t="shared" si="9"/>
        <v>0</v>
      </c>
      <c r="L60" s="107">
        <v>0</v>
      </c>
      <c r="M60" s="42">
        <v>0</v>
      </c>
      <c r="N60" s="42">
        <v>0</v>
      </c>
      <c r="O60" s="42">
        <v>0</v>
      </c>
      <c r="P60" s="39"/>
    </row>
    <row r="61" spans="1:16" ht="16.5" customHeight="1">
      <c r="A61" s="30"/>
      <c r="B61" s="83"/>
      <c r="C61" s="113" t="s">
        <v>24</v>
      </c>
      <c r="D61" s="106">
        <v>8774158</v>
      </c>
      <c r="E61" s="106">
        <f>7594462+1179695</f>
        <v>8774157</v>
      </c>
      <c r="F61" s="106">
        <f t="shared" si="22"/>
        <v>0</v>
      </c>
      <c r="G61" s="106">
        <v>0</v>
      </c>
      <c r="H61" s="41">
        <v>0</v>
      </c>
      <c r="I61" s="41">
        <v>0</v>
      </c>
      <c r="J61" s="41">
        <v>0</v>
      </c>
      <c r="K61" s="42">
        <f t="shared" si="9"/>
        <v>0</v>
      </c>
      <c r="L61" s="107">
        <v>0</v>
      </c>
      <c r="M61" s="42">
        <v>0</v>
      </c>
      <c r="N61" s="42">
        <v>0</v>
      </c>
      <c r="O61" s="42">
        <v>0</v>
      </c>
      <c r="P61" s="39"/>
    </row>
    <row r="62" spans="1:16" s="64" customFormat="1" ht="28.5" customHeight="1">
      <c r="A62" s="30"/>
      <c r="B62" s="71"/>
      <c r="C62" s="114" t="s">
        <v>75</v>
      </c>
      <c r="D62" s="115">
        <v>15629898</v>
      </c>
      <c r="E62" s="115">
        <f>14419255+1210642</f>
        <v>15629897</v>
      </c>
      <c r="F62" s="115">
        <f t="shared" si="22"/>
        <v>0</v>
      </c>
      <c r="G62" s="115">
        <v>0</v>
      </c>
      <c r="H62" s="70">
        <v>0</v>
      </c>
      <c r="I62" s="70">
        <v>0</v>
      </c>
      <c r="J62" s="70">
        <v>0</v>
      </c>
      <c r="K62" s="42">
        <f t="shared" si="9"/>
        <v>0</v>
      </c>
      <c r="L62" s="116">
        <v>0</v>
      </c>
      <c r="M62" s="67">
        <v>0</v>
      </c>
      <c r="N62" s="67">
        <v>0</v>
      </c>
      <c r="O62" s="67">
        <v>0</v>
      </c>
      <c r="P62" s="39"/>
    </row>
    <row r="63" spans="1:16" s="64" customFormat="1" ht="28.5" customHeight="1">
      <c r="A63" s="30"/>
      <c r="B63" s="71"/>
      <c r="C63" s="114" t="s">
        <v>177</v>
      </c>
      <c r="D63" s="115">
        <v>70968</v>
      </c>
      <c r="E63" s="115">
        <v>70456</v>
      </c>
      <c r="F63" s="115">
        <v>0</v>
      </c>
      <c r="G63" s="115">
        <v>0</v>
      </c>
      <c r="H63" s="70">
        <v>0</v>
      </c>
      <c r="I63" s="70">
        <v>0</v>
      </c>
      <c r="J63" s="70">
        <v>0</v>
      </c>
      <c r="K63" s="42">
        <v>0</v>
      </c>
      <c r="L63" s="116">
        <v>0</v>
      </c>
      <c r="M63" s="67">
        <v>0</v>
      </c>
      <c r="N63" s="67">
        <v>0</v>
      </c>
      <c r="O63" s="67">
        <v>0</v>
      </c>
      <c r="P63" s="39"/>
    </row>
    <row r="64" spans="1:16" s="64" customFormat="1" ht="25.5">
      <c r="A64" s="30"/>
      <c r="B64" s="71"/>
      <c r="C64" s="117" t="s">
        <v>25</v>
      </c>
      <c r="D64" s="107">
        <v>17218032</v>
      </c>
      <c r="E64" s="106">
        <f>16842001+366848</f>
        <v>17208849</v>
      </c>
      <c r="F64" s="106">
        <f t="shared" si="22"/>
        <v>0</v>
      </c>
      <c r="G64" s="106">
        <v>0</v>
      </c>
      <c r="H64" s="41">
        <v>0</v>
      </c>
      <c r="I64" s="41">
        <v>0</v>
      </c>
      <c r="J64" s="41">
        <v>0</v>
      </c>
      <c r="K64" s="42">
        <f t="shared" si="9"/>
        <v>0</v>
      </c>
      <c r="L64" s="107">
        <v>0</v>
      </c>
      <c r="M64" s="42">
        <v>0</v>
      </c>
      <c r="N64" s="42">
        <v>0</v>
      </c>
      <c r="O64" s="42">
        <v>0</v>
      </c>
      <c r="P64" s="39"/>
    </row>
    <row r="65" spans="1:16" ht="27.75" customHeight="1">
      <c r="A65" s="30"/>
      <c r="B65" s="83"/>
      <c r="C65" s="113" t="s">
        <v>26</v>
      </c>
      <c r="D65" s="106">
        <v>53116195</v>
      </c>
      <c r="E65" s="106">
        <f>50903210+2212984</f>
        <v>53116194</v>
      </c>
      <c r="F65" s="106">
        <f t="shared" si="22"/>
        <v>0</v>
      </c>
      <c r="G65" s="106">
        <v>0</v>
      </c>
      <c r="H65" s="41">
        <v>0</v>
      </c>
      <c r="I65" s="41">
        <v>0</v>
      </c>
      <c r="J65" s="41">
        <v>0</v>
      </c>
      <c r="K65" s="42">
        <f t="shared" si="9"/>
        <v>0</v>
      </c>
      <c r="L65" s="107">
        <v>0</v>
      </c>
      <c r="M65" s="42">
        <v>0</v>
      </c>
      <c r="N65" s="42">
        <v>0</v>
      </c>
      <c r="O65" s="42">
        <v>0</v>
      </c>
      <c r="P65" s="39"/>
    </row>
    <row r="66" spans="1:16" ht="27.75" customHeight="1">
      <c r="A66" s="30"/>
      <c r="B66" s="83"/>
      <c r="C66" s="114" t="s">
        <v>27</v>
      </c>
      <c r="D66" s="115">
        <v>3536900</v>
      </c>
      <c r="E66" s="115">
        <f>212045+3324854</f>
        <v>3536899</v>
      </c>
      <c r="F66" s="115">
        <f t="shared" si="22"/>
        <v>0</v>
      </c>
      <c r="G66" s="115">
        <v>0</v>
      </c>
      <c r="H66" s="70">
        <v>0</v>
      </c>
      <c r="I66" s="70">
        <v>0</v>
      </c>
      <c r="J66" s="70">
        <v>0</v>
      </c>
      <c r="K66" s="67">
        <f t="shared" si="9"/>
        <v>0</v>
      </c>
      <c r="L66" s="116">
        <v>0</v>
      </c>
      <c r="M66" s="67">
        <v>0</v>
      </c>
      <c r="N66" s="67">
        <v>0</v>
      </c>
      <c r="O66" s="67">
        <v>0</v>
      </c>
      <c r="P66" s="39"/>
    </row>
    <row r="67" spans="1:16" ht="27.75" customHeight="1">
      <c r="A67" s="92"/>
      <c r="B67" s="78"/>
      <c r="C67" s="118" t="s">
        <v>28</v>
      </c>
      <c r="D67" s="119">
        <v>18437084</v>
      </c>
      <c r="E67" s="119">
        <f>16740121+1696962</f>
        <v>18437083</v>
      </c>
      <c r="F67" s="119">
        <f t="shared" si="22"/>
        <v>0</v>
      </c>
      <c r="G67" s="119">
        <v>0</v>
      </c>
      <c r="H67" s="86">
        <v>0</v>
      </c>
      <c r="I67" s="86">
        <v>0</v>
      </c>
      <c r="J67" s="86">
        <v>0</v>
      </c>
      <c r="K67" s="68">
        <f t="shared" si="9"/>
        <v>0</v>
      </c>
      <c r="L67" s="120">
        <v>0</v>
      </c>
      <c r="M67" s="87">
        <v>0</v>
      </c>
      <c r="N67" s="87">
        <v>0</v>
      </c>
      <c r="O67" s="87">
        <v>0</v>
      </c>
      <c r="P67" s="46"/>
    </row>
    <row r="68" spans="1:16" ht="27.75" hidden="1" customHeight="1">
      <c r="A68" s="30"/>
      <c r="B68" s="83"/>
      <c r="C68" s="114" t="s">
        <v>29</v>
      </c>
      <c r="D68" s="115">
        <f>8979-8979</f>
        <v>0</v>
      </c>
      <c r="E68" s="115"/>
      <c r="F68" s="115">
        <f t="shared" si="22"/>
        <v>0</v>
      </c>
      <c r="G68" s="115">
        <v>0</v>
      </c>
      <c r="H68" s="70">
        <v>0</v>
      </c>
      <c r="I68" s="70">
        <v>0</v>
      </c>
      <c r="J68" s="70">
        <v>0</v>
      </c>
      <c r="K68" s="67">
        <f t="shared" si="9"/>
        <v>0</v>
      </c>
      <c r="L68" s="116">
        <v>0</v>
      </c>
      <c r="M68" s="67">
        <v>0</v>
      </c>
      <c r="N68" s="67">
        <v>0</v>
      </c>
      <c r="O68" s="67">
        <v>0</v>
      </c>
      <c r="P68" s="121"/>
    </row>
    <row r="69" spans="1:16" ht="39.75" customHeight="1">
      <c r="A69" s="30"/>
      <c r="B69" s="83"/>
      <c r="C69" s="105" t="s">
        <v>30</v>
      </c>
      <c r="D69" s="106">
        <v>17256412</v>
      </c>
      <c r="E69" s="106">
        <f>13529827+3726583</f>
        <v>17256410</v>
      </c>
      <c r="F69" s="106">
        <f t="shared" si="22"/>
        <v>0</v>
      </c>
      <c r="G69" s="106">
        <v>0</v>
      </c>
      <c r="H69" s="41">
        <v>0</v>
      </c>
      <c r="I69" s="41">
        <v>0</v>
      </c>
      <c r="J69" s="41">
        <v>0</v>
      </c>
      <c r="K69" s="42">
        <f t="shared" si="9"/>
        <v>0</v>
      </c>
      <c r="L69" s="107">
        <v>0</v>
      </c>
      <c r="M69" s="42">
        <v>0</v>
      </c>
      <c r="N69" s="42">
        <v>0</v>
      </c>
      <c r="O69" s="42">
        <v>0</v>
      </c>
      <c r="P69" s="39" t="s">
        <v>153</v>
      </c>
    </row>
    <row r="70" spans="1:16" ht="39.75" customHeight="1">
      <c r="A70" s="30"/>
      <c r="B70" s="83"/>
      <c r="C70" s="114" t="s">
        <v>73</v>
      </c>
      <c r="D70" s="115">
        <v>29412874</v>
      </c>
      <c r="E70" s="115">
        <f>29245071+167802</f>
        <v>29412873</v>
      </c>
      <c r="F70" s="115">
        <f t="shared" si="22"/>
        <v>0</v>
      </c>
      <c r="G70" s="115">
        <v>0</v>
      </c>
      <c r="H70" s="70">
        <v>0</v>
      </c>
      <c r="I70" s="70">
        <v>0</v>
      </c>
      <c r="J70" s="70">
        <v>0</v>
      </c>
      <c r="K70" s="67">
        <f t="shared" si="9"/>
        <v>0</v>
      </c>
      <c r="L70" s="116">
        <v>0</v>
      </c>
      <c r="M70" s="67">
        <v>0</v>
      </c>
      <c r="N70" s="67">
        <v>0</v>
      </c>
      <c r="O70" s="67">
        <v>0</v>
      </c>
      <c r="P70" s="39"/>
    </row>
    <row r="71" spans="1:16" ht="28.5" customHeight="1">
      <c r="A71" s="122"/>
      <c r="B71" s="123"/>
      <c r="C71" s="124" t="s">
        <v>31</v>
      </c>
      <c r="D71" s="115">
        <v>12661358</v>
      </c>
      <c r="E71" s="115">
        <f>10846525+1814832</f>
        <v>12661357</v>
      </c>
      <c r="F71" s="115">
        <f t="shared" si="22"/>
        <v>0</v>
      </c>
      <c r="G71" s="115">
        <v>0</v>
      </c>
      <c r="H71" s="70">
        <v>0</v>
      </c>
      <c r="I71" s="70">
        <v>0</v>
      </c>
      <c r="J71" s="70">
        <v>0</v>
      </c>
      <c r="K71" s="67">
        <f t="shared" si="9"/>
        <v>0</v>
      </c>
      <c r="L71" s="116">
        <v>0</v>
      </c>
      <c r="M71" s="67">
        <v>0</v>
      </c>
      <c r="N71" s="67">
        <v>0</v>
      </c>
      <c r="O71" s="67">
        <v>0</v>
      </c>
      <c r="P71" s="39"/>
    </row>
    <row r="72" spans="1:16" ht="40.5" customHeight="1">
      <c r="A72" s="30"/>
      <c r="B72" s="83"/>
      <c r="C72" s="113" t="s">
        <v>74</v>
      </c>
      <c r="D72" s="106">
        <v>22595852</v>
      </c>
      <c r="E72" s="106">
        <f>22373740+222111</f>
        <v>22595851</v>
      </c>
      <c r="F72" s="106">
        <f t="shared" si="22"/>
        <v>0</v>
      </c>
      <c r="G72" s="106">
        <v>0</v>
      </c>
      <c r="H72" s="41">
        <v>0</v>
      </c>
      <c r="I72" s="41">
        <v>0</v>
      </c>
      <c r="J72" s="41">
        <v>0</v>
      </c>
      <c r="K72" s="42">
        <f t="shared" si="9"/>
        <v>0</v>
      </c>
      <c r="L72" s="107">
        <v>0</v>
      </c>
      <c r="M72" s="42">
        <v>0</v>
      </c>
      <c r="N72" s="42">
        <v>0</v>
      </c>
      <c r="O72" s="42">
        <v>0</v>
      </c>
      <c r="P72" s="39"/>
    </row>
    <row r="73" spans="1:16" ht="27.75" customHeight="1">
      <c r="A73" s="30"/>
      <c r="B73" s="83"/>
      <c r="C73" s="113" t="s">
        <v>32</v>
      </c>
      <c r="D73" s="107">
        <v>41053158</v>
      </c>
      <c r="E73" s="107">
        <f>38403555+2634104</f>
        <v>41037659</v>
      </c>
      <c r="F73" s="106">
        <f t="shared" si="22"/>
        <v>0</v>
      </c>
      <c r="G73" s="106">
        <v>0</v>
      </c>
      <c r="H73" s="41">
        <v>0</v>
      </c>
      <c r="I73" s="41">
        <v>0</v>
      </c>
      <c r="J73" s="41">
        <v>0</v>
      </c>
      <c r="K73" s="42">
        <f t="shared" si="9"/>
        <v>0</v>
      </c>
      <c r="L73" s="107">
        <v>0</v>
      </c>
      <c r="M73" s="42">
        <v>0</v>
      </c>
      <c r="N73" s="42">
        <v>0</v>
      </c>
      <c r="O73" s="42">
        <v>0</v>
      </c>
      <c r="P73" s="39"/>
    </row>
    <row r="74" spans="1:16" ht="25.5">
      <c r="A74" s="30"/>
      <c r="B74" s="83"/>
      <c r="C74" s="113" t="s">
        <v>33</v>
      </c>
      <c r="D74" s="106">
        <v>1193579</v>
      </c>
      <c r="E74" s="106">
        <v>1193276</v>
      </c>
      <c r="F74" s="106">
        <f t="shared" si="22"/>
        <v>0</v>
      </c>
      <c r="G74" s="106">
        <v>0</v>
      </c>
      <c r="H74" s="41">
        <v>0</v>
      </c>
      <c r="I74" s="41">
        <v>0</v>
      </c>
      <c r="J74" s="41">
        <v>0</v>
      </c>
      <c r="K74" s="42">
        <f t="shared" si="9"/>
        <v>0</v>
      </c>
      <c r="L74" s="107">
        <v>0</v>
      </c>
      <c r="M74" s="42">
        <v>0</v>
      </c>
      <c r="N74" s="42">
        <v>0</v>
      </c>
      <c r="O74" s="42">
        <v>0</v>
      </c>
      <c r="P74" s="39"/>
    </row>
    <row r="75" spans="1:16" ht="25.5">
      <c r="A75" s="30"/>
      <c r="B75" s="83"/>
      <c r="C75" s="125" t="s">
        <v>162</v>
      </c>
      <c r="D75" s="106">
        <v>0</v>
      </c>
      <c r="E75" s="106">
        <v>0</v>
      </c>
      <c r="F75" s="106">
        <f>SUM(G75:J75)</f>
        <v>2300000</v>
      </c>
      <c r="G75" s="106">
        <v>2300000</v>
      </c>
      <c r="H75" s="41">
        <v>0</v>
      </c>
      <c r="I75" s="41">
        <v>0</v>
      </c>
      <c r="J75" s="41">
        <v>0</v>
      </c>
      <c r="K75" s="42">
        <f>SUM(L75:O75)</f>
        <v>2300000</v>
      </c>
      <c r="L75" s="107">
        <v>2300000</v>
      </c>
      <c r="M75" s="42">
        <v>0</v>
      </c>
      <c r="N75" s="42">
        <v>0</v>
      </c>
      <c r="O75" s="42">
        <v>0</v>
      </c>
      <c r="P75" s="39"/>
    </row>
    <row r="76" spans="1:16" ht="51">
      <c r="A76" s="30"/>
      <c r="B76" s="83"/>
      <c r="C76" s="113" t="s">
        <v>126</v>
      </c>
      <c r="D76" s="106">
        <v>11968</v>
      </c>
      <c r="E76" s="106">
        <v>11968</v>
      </c>
      <c r="F76" s="106">
        <f t="shared" si="22"/>
        <v>0</v>
      </c>
      <c r="G76" s="106">
        <v>0</v>
      </c>
      <c r="H76" s="41">
        <v>0</v>
      </c>
      <c r="I76" s="41">
        <v>0</v>
      </c>
      <c r="J76" s="41">
        <v>0</v>
      </c>
      <c r="K76" s="42">
        <f t="shared" si="9"/>
        <v>0</v>
      </c>
      <c r="L76" s="107">
        <v>0</v>
      </c>
      <c r="M76" s="42">
        <v>0</v>
      </c>
      <c r="N76" s="42">
        <v>0</v>
      </c>
      <c r="O76" s="42">
        <v>0</v>
      </c>
      <c r="P76" s="39"/>
    </row>
    <row r="77" spans="1:16" ht="25.5">
      <c r="A77" s="30"/>
      <c r="B77" s="83"/>
      <c r="C77" s="126" t="s">
        <v>114</v>
      </c>
      <c r="D77" s="127">
        <v>0</v>
      </c>
      <c r="E77" s="127">
        <v>0</v>
      </c>
      <c r="F77" s="106">
        <f t="shared" si="22"/>
        <v>850000</v>
      </c>
      <c r="G77" s="127">
        <v>850000</v>
      </c>
      <c r="H77" s="41">
        <v>0</v>
      </c>
      <c r="I77" s="41">
        <v>0</v>
      </c>
      <c r="J77" s="41">
        <v>0</v>
      </c>
      <c r="K77" s="42">
        <f t="shared" si="9"/>
        <v>849999</v>
      </c>
      <c r="L77" s="128">
        <f>676424+173575</f>
        <v>849999</v>
      </c>
      <c r="M77" s="42">
        <v>0</v>
      </c>
      <c r="N77" s="42">
        <v>0</v>
      </c>
      <c r="O77" s="42">
        <v>0</v>
      </c>
      <c r="P77" s="39"/>
    </row>
    <row r="78" spans="1:16" s="64" customFormat="1" ht="21" customHeight="1">
      <c r="A78" s="30"/>
      <c r="B78" s="71"/>
      <c r="C78" s="126" t="s">
        <v>34</v>
      </c>
      <c r="D78" s="129">
        <v>0</v>
      </c>
      <c r="E78" s="129">
        <v>0</v>
      </c>
      <c r="F78" s="100">
        <f t="shared" si="22"/>
        <v>105000</v>
      </c>
      <c r="G78" s="129">
        <v>105000</v>
      </c>
      <c r="H78" s="111">
        <v>0</v>
      </c>
      <c r="I78" s="111">
        <v>0</v>
      </c>
      <c r="J78" s="111">
        <v>0</v>
      </c>
      <c r="K78" s="112">
        <f t="shared" si="9"/>
        <v>104687</v>
      </c>
      <c r="L78" s="130">
        <v>104687</v>
      </c>
      <c r="M78" s="112">
        <v>0</v>
      </c>
      <c r="N78" s="112">
        <v>0</v>
      </c>
      <c r="O78" s="112">
        <v>0</v>
      </c>
      <c r="P78" s="39"/>
    </row>
    <row r="79" spans="1:16" ht="31.5" customHeight="1">
      <c r="A79" s="30"/>
      <c r="B79" s="83"/>
      <c r="C79" s="131" t="s">
        <v>127</v>
      </c>
      <c r="D79" s="132">
        <v>0</v>
      </c>
      <c r="E79" s="133">
        <v>0</v>
      </c>
      <c r="F79" s="106">
        <f t="shared" si="22"/>
        <v>160000</v>
      </c>
      <c r="G79" s="132">
        <v>0</v>
      </c>
      <c r="H79" s="86">
        <v>0</v>
      </c>
      <c r="I79" s="86">
        <v>160000</v>
      </c>
      <c r="J79" s="86">
        <v>0</v>
      </c>
      <c r="K79" s="68">
        <f t="shared" si="9"/>
        <v>153770</v>
      </c>
      <c r="L79" s="134">
        <v>0</v>
      </c>
      <c r="M79" s="87">
        <v>0</v>
      </c>
      <c r="N79" s="87">
        <v>153770</v>
      </c>
      <c r="O79" s="87">
        <v>0</v>
      </c>
      <c r="P79" s="46"/>
    </row>
    <row r="80" spans="1:16" s="29" customFormat="1" ht="15.75" customHeight="1">
      <c r="A80" s="55"/>
      <c r="B80" s="90" t="s">
        <v>141</v>
      </c>
      <c r="C80" s="91" t="s">
        <v>142</v>
      </c>
      <c r="D80" s="58">
        <f>SUM(D81:D83)</f>
        <v>0</v>
      </c>
      <c r="E80" s="58">
        <f>SUM(E81:E83)</f>
        <v>0</v>
      </c>
      <c r="F80" s="58">
        <f t="shared" ref="F80:J80" si="25">SUM(F81:F83)</f>
        <v>245000</v>
      </c>
      <c r="G80" s="58">
        <f t="shared" si="25"/>
        <v>0</v>
      </c>
      <c r="H80" s="58">
        <f t="shared" si="25"/>
        <v>0</v>
      </c>
      <c r="I80" s="58">
        <f t="shared" si="25"/>
        <v>245000</v>
      </c>
      <c r="J80" s="58">
        <f t="shared" si="25"/>
        <v>0</v>
      </c>
      <c r="K80" s="59">
        <f t="shared" si="9"/>
        <v>198142</v>
      </c>
      <c r="L80" s="58">
        <f t="shared" ref="L80:O80" si="26">SUM(L81:L83)</f>
        <v>0</v>
      </c>
      <c r="M80" s="58">
        <f t="shared" si="26"/>
        <v>0</v>
      </c>
      <c r="N80" s="58">
        <f t="shared" si="26"/>
        <v>198142</v>
      </c>
      <c r="O80" s="58">
        <f t="shared" si="26"/>
        <v>0</v>
      </c>
      <c r="P80" s="28"/>
    </row>
    <row r="81" spans="1:16" ht="28.5" customHeight="1">
      <c r="A81" s="30"/>
      <c r="B81" s="102"/>
      <c r="C81" s="103" t="s">
        <v>143</v>
      </c>
      <c r="D81" s="97">
        <v>0</v>
      </c>
      <c r="E81" s="97">
        <v>0</v>
      </c>
      <c r="F81" s="97">
        <f t="shared" ref="F81:F83" si="27">SUM(G81:J81)</f>
        <v>25000</v>
      </c>
      <c r="G81" s="97">
        <v>0</v>
      </c>
      <c r="H81" s="33">
        <v>0</v>
      </c>
      <c r="I81" s="97">
        <v>25000</v>
      </c>
      <c r="J81" s="33">
        <v>0</v>
      </c>
      <c r="K81" s="34">
        <f t="shared" si="9"/>
        <v>19000</v>
      </c>
      <c r="L81" s="104">
        <v>0</v>
      </c>
      <c r="M81" s="34">
        <v>0</v>
      </c>
      <c r="N81" s="104">
        <v>19000</v>
      </c>
      <c r="O81" s="34">
        <v>0</v>
      </c>
      <c r="P81" s="35" t="s">
        <v>153</v>
      </c>
    </row>
    <row r="82" spans="1:16" ht="16.5" customHeight="1">
      <c r="A82" s="30"/>
      <c r="B82" s="31"/>
      <c r="C82" s="105" t="s">
        <v>144</v>
      </c>
      <c r="D82" s="106">
        <v>0</v>
      </c>
      <c r="E82" s="106">
        <v>0</v>
      </c>
      <c r="F82" s="106">
        <f t="shared" si="27"/>
        <v>100000</v>
      </c>
      <c r="G82" s="106">
        <v>0</v>
      </c>
      <c r="H82" s="41">
        <v>0</v>
      </c>
      <c r="I82" s="106">
        <v>100000</v>
      </c>
      <c r="J82" s="41">
        <v>0</v>
      </c>
      <c r="K82" s="42">
        <f t="shared" si="9"/>
        <v>93657</v>
      </c>
      <c r="L82" s="107">
        <v>0</v>
      </c>
      <c r="M82" s="42">
        <v>0</v>
      </c>
      <c r="N82" s="107">
        <v>93657</v>
      </c>
      <c r="O82" s="42">
        <v>0</v>
      </c>
      <c r="P82" s="39"/>
    </row>
    <row r="83" spans="1:16" ht="24.75" customHeight="1">
      <c r="A83" s="30"/>
      <c r="B83" s="31"/>
      <c r="C83" s="105" t="s">
        <v>145</v>
      </c>
      <c r="D83" s="106">
        <v>0</v>
      </c>
      <c r="E83" s="106">
        <v>0</v>
      </c>
      <c r="F83" s="106">
        <f t="shared" si="27"/>
        <v>120000</v>
      </c>
      <c r="G83" s="106">
        <v>0</v>
      </c>
      <c r="H83" s="41">
        <v>0</v>
      </c>
      <c r="I83" s="106">
        <v>120000</v>
      </c>
      <c r="J83" s="41">
        <v>0</v>
      </c>
      <c r="K83" s="67">
        <f t="shared" si="9"/>
        <v>85485</v>
      </c>
      <c r="L83" s="107">
        <v>0</v>
      </c>
      <c r="M83" s="42">
        <v>0</v>
      </c>
      <c r="N83" s="107">
        <v>85485</v>
      </c>
      <c r="O83" s="42">
        <v>0</v>
      </c>
      <c r="P83" s="46"/>
    </row>
    <row r="84" spans="1:16" s="29" customFormat="1" ht="15.75" customHeight="1">
      <c r="A84" s="55"/>
      <c r="B84" s="90" t="s">
        <v>35</v>
      </c>
      <c r="C84" s="91" t="s">
        <v>52</v>
      </c>
      <c r="D84" s="58">
        <f t="shared" ref="D84:O84" si="28">D85</f>
        <v>27618574</v>
      </c>
      <c r="E84" s="58">
        <f t="shared" si="28"/>
        <v>26065865</v>
      </c>
      <c r="F84" s="58">
        <f t="shared" si="28"/>
        <v>0</v>
      </c>
      <c r="G84" s="58">
        <f t="shared" si="28"/>
        <v>0</v>
      </c>
      <c r="H84" s="58">
        <f t="shared" si="28"/>
        <v>0</v>
      </c>
      <c r="I84" s="58">
        <f t="shared" si="28"/>
        <v>0</v>
      </c>
      <c r="J84" s="58">
        <f t="shared" si="28"/>
        <v>0</v>
      </c>
      <c r="K84" s="59">
        <f t="shared" si="9"/>
        <v>0</v>
      </c>
      <c r="L84" s="58">
        <f t="shared" si="28"/>
        <v>0</v>
      </c>
      <c r="M84" s="58">
        <f t="shared" si="28"/>
        <v>0</v>
      </c>
      <c r="N84" s="58">
        <f t="shared" si="28"/>
        <v>0</v>
      </c>
      <c r="O84" s="58">
        <f t="shared" si="28"/>
        <v>0</v>
      </c>
      <c r="P84" s="28"/>
    </row>
    <row r="85" spans="1:16" s="64" customFormat="1" ht="27" customHeight="1">
      <c r="A85" s="30"/>
      <c r="B85" s="30"/>
      <c r="C85" s="135" t="s">
        <v>125</v>
      </c>
      <c r="D85" s="136">
        <v>27618574</v>
      </c>
      <c r="E85" s="136">
        <v>26065865</v>
      </c>
      <c r="F85" s="136">
        <f>SUM(G85:J85)</f>
        <v>0</v>
      </c>
      <c r="G85" s="136">
        <v>0</v>
      </c>
      <c r="H85" s="136">
        <v>0</v>
      </c>
      <c r="I85" s="136">
        <v>0</v>
      </c>
      <c r="J85" s="136">
        <v>0</v>
      </c>
      <c r="K85" s="34">
        <f t="shared" si="9"/>
        <v>0</v>
      </c>
      <c r="L85" s="81">
        <v>0</v>
      </c>
      <c r="M85" s="81">
        <v>0</v>
      </c>
      <c r="N85" s="81">
        <v>0</v>
      </c>
      <c r="O85" s="81">
        <v>0</v>
      </c>
      <c r="P85" s="54" t="s">
        <v>14</v>
      </c>
    </row>
    <row r="86" spans="1:16" s="29" customFormat="1" ht="15.75" customHeight="1">
      <c r="A86" s="55"/>
      <c r="B86" s="90" t="s">
        <v>36</v>
      </c>
      <c r="C86" s="91" t="s">
        <v>53</v>
      </c>
      <c r="D86" s="58">
        <f t="shared" ref="D86:J86" si="29">SUM(D87:D88)</f>
        <v>1150000</v>
      </c>
      <c r="E86" s="58">
        <f t="shared" si="29"/>
        <v>1133568</v>
      </c>
      <c r="F86" s="58">
        <f t="shared" si="29"/>
        <v>58472</v>
      </c>
      <c r="G86" s="58">
        <f t="shared" si="29"/>
        <v>0</v>
      </c>
      <c r="H86" s="58">
        <f t="shared" si="29"/>
        <v>0</v>
      </c>
      <c r="I86" s="58">
        <f t="shared" si="29"/>
        <v>58472</v>
      </c>
      <c r="J86" s="58">
        <f t="shared" si="29"/>
        <v>0</v>
      </c>
      <c r="K86" s="59">
        <f t="shared" ref="K86:K139" si="30">SUM(L86:O86)</f>
        <v>55611</v>
      </c>
      <c r="L86" s="58">
        <f t="shared" ref="L86:O86" si="31">SUM(L87:L88)</f>
        <v>0</v>
      </c>
      <c r="M86" s="58">
        <f t="shared" si="31"/>
        <v>0</v>
      </c>
      <c r="N86" s="58">
        <f t="shared" si="31"/>
        <v>55611</v>
      </c>
      <c r="O86" s="58">
        <f t="shared" si="31"/>
        <v>0</v>
      </c>
      <c r="P86" s="28"/>
    </row>
    <row r="87" spans="1:16" s="64" customFormat="1" ht="14.25" customHeight="1">
      <c r="A87" s="30"/>
      <c r="B87" s="30"/>
      <c r="C87" s="47" t="s">
        <v>124</v>
      </c>
      <c r="D87" s="137">
        <v>0</v>
      </c>
      <c r="E87" s="137"/>
      <c r="F87" s="137">
        <f>SUM(G87:J87)</f>
        <v>58472</v>
      </c>
      <c r="G87" s="137">
        <v>0</v>
      </c>
      <c r="H87" s="137">
        <v>0</v>
      </c>
      <c r="I87" s="137">
        <f>73472-15000</f>
        <v>58472</v>
      </c>
      <c r="J87" s="137">
        <v>0</v>
      </c>
      <c r="K87" s="34">
        <f t="shared" si="30"/>
        <v>55611</v>
      </c>
      <c r="L87" s="138">
        <v>0</v>
      </c>
      <c r="M87" s="138">
        <v>0</v>
      </c>
      <c r="N87" s="138">
        <v>55611</v>
      </c>
      <c r="O87" s="138">
        <v>0</v>
      </c>
      <c r="P87" s="35" t="s">
        <v>14</v>
      </c>
    </row>
    <row r="88" spans="1:16" s="64" customFormat="1" ht="14.25" customHeight="1">
      <c r="A88" s="72"/>
      <c r="B88" s="72"/>
      <c r="C88" s="49" t="s">
        <v>68</v>
      </c>
      <c r="D88" s="139">
        <v>1150000</v>
      </c>
      <c r="E88" s="139">
        <v>1133568</v>
      </c>
      <c r="F88" s="50">
        <f>SUM(G88:J88)</f>
        <v>0</v>
      </c>
      <c r="G88" s="50">
        <v>0</v>
      </c>
      <c r="H88" s="50">
        <v>0</v>
      </c>
      <c r="I88" s="50">
        <v>0</v>
      </c>
      <c r="J88" s="50">
        <v>0</v>
      </c>
      <c r="K88" s="68">
        <f t="shared" si="30"/>
        <v>0</v>
      </c>
      <c r="L88" s="52">
        <v>0</v>
      </c>
      <c r="M88" s="52">
        <v>0</v>
      </c>
      <c r="N88" s="52">
        <v>0</v>
      </c>
      <c r="O88" s="52">
        <v>0</v>
      </c>
      <c r="P88" s="46"/>
    </row>
    <row r="89" spans="1:16" s="23" customFormat="1" ht="14.25" customHeight="1">
      <c r="A89" s="19" t="s">
        <v>79</v>
      </c>
      <c r="B89" s="19"/>
      <c r="C89" s="20" t="s">
        <v>81</v>
      </c>
      <c r="D89" s="21">
        <f t="shared" ref="D89:O89" si="32">D90</f>
        <v>740000</v>
      </c>
      <c r="E89" s="21">
        <f t="shared" si="32"/>
        <v>227208</v>
      </c>
      <c r="F89" s="21">
        <f t="shared" si="32"/>
        <v>0</v>
      </c>
      <c r="G89" s="21">
        <f t="shared" si="32"/>
        <v>0</v>
      </c>
      <c r="H89" s="21">
        <f t="shared" si="32"/>
        <v>0</v>
      </c>
      <c r="I89" s="21">
        <f t="shared" si="32"/>
        <v>0</v>
      </c>
      <c r="J89" s="21">
        <f t="shared" si="32"/>
        <v>0</v>
      </c>
      <c r="K89" s="89">
        <f t="shared" si="30"/>
        <v>0</v>
      </c>
      <c r="L89" s="21">
        <f t="shared" si="32"/>
        <v>0</v>
      </c>
      <c r="M89" s="21">
        <f t="shared" si="32"/>
        <v>0</v>
      </c>
      <c r="N89" s="21">
        <f t="shared" si="32"/>
        <v>0</v>
      </c>
      <c r="O89" s="21">
        <f t="shared" si="32"/>
        <v>0</v>
      </c>
      <c r="P89" s="22"/>
    </row>
    <row r="90" spans="1:16" s="29" customFormat="1" ht="15.75" customHeight="1">
      <c r="A90" s="24"/>
      <c r="B90" s="90" t="s">
        <v>80</v>
      </c>
      <c r="C90" s="91" t="s">
        <v>82</v>
      </c>
      <c r="D90" s="58">
        <f t="shared" ref="D90:O90" si="33">SUM(D91:D91)</f>
        <v>740000</v>
      </c>
      <c r="E90" s="58">
        <f t="shared" si="33"/>
        <v>227208</v>
      </c>
      <c r="F90" s="58">
        <f t="shared" si="33"/>
        <v>0</v>
      </c>
      <c r="G90" s="58">
        <f t="shared" si="33"/>
        <v>0</v>
      </c>
      <c r="H90" s="58">
        <f t="shared" si="33"/>
        <v>0</v>
      </c>
      <c r="I90" s="58">
        <f t="shared" si="33"/>
        <v>0</v>
      </c>
      <c r="J90" s="58">
        <f t="shared" si="33"/>
        <v>0</v>
      </c>
      <c r="K90" s="59">
        <f t="shared" si="30"/>
        <v>0</v>
      </c>
      <c r="L90" s="58">
        <f t="shared" si="33"/>
        <v>0</v>
      </c>
      <c r="M90" s="58">
        <f t="shared" si="33"/>
        <v>0</v>
      </c>
      <c r="N90" s="58">
        <f t="shared" si="33"/>
        <v>0</v>
      </c>
      <c r="O90" s="58">
        <f t="shared" si="33"/>
        <v>0</v>
      </c>
      <c r="P90" s="28"/>
    </row>
    <row r="91" spans="1:16" ht="30" customHeight="1">
      <c r="A91" s="78"/>
      <c r="B91" s="78"/>
      <c r="C91" s="140" t="s">
        <v>83</v>
      </c>
      <c r="D91" s="51">
        <v>740000</v>
      </c>
      <c r="E91" s="51">
        <v>227208</v>
      </c>
      <c r="F91" s="51">
        <v>0</v>
      </c>
      <c r="G91" s="51">
        <v>0</v>
      </c>
      <c r="H91" s="51">
        <v>0</v>
      </c>
      <c r="I91" s="51">
        <v>0</v>
      </c>
      <c r="J91" s="51">
        <v>0</v>
      </c>
      <c r="K91" s="34">
        <f t="shared" si="30"/>
        <v>0</v>
      </c>
      <c r="L91" s="68">
        <v>0</v>
      </c>
      <c r="M91" s="68">
        <v>0</v>
      </c>
      <c r="N91" s="68">
        <v>0</v>
      </c>
      <c r="O91" s="68">
        <v>0</v>
      </c>
      <c r="P91" s="54" t="s">
        <v>14</v>
      </c>
    </row>
    <row r="92" spans="1:16" s="23" customFormat="1" ht="14.25" customHeight="1">
      <c r="A92" s="19" t="s">
        <v>37</v>
      </c>
      <c r="B92" s="19"/>
      <c r="C92" s="20" t="s">
        <v>54</v>
      </c>
      <c r="D92" s="21">
        <f t="shared" ref="D92:O92" si="34">D93</f>
        <v>0</v>
      </c>
      <c r="E92" s="21">
        <f t="shared" si="34"/>
        <v>0</v>
      </c>
      <c r="F92" s="21">
        <f t="shared" si="34"/>
        <v>150000</v>
      </c>
      <c r="G92" s="21">
        <f t="shared" si="34"/>
        <v>150000</v>
      </c>
      <c r="H92" s="21">
        <f t="shared" si="34"/>
        <v>0</v>
      </c>
      <c r="I92" s="21">
        <f t="shared" si="34"/>
        <v>0</v>
      </c>
      <c r="J92" s="21">
        <f t="shared" si="34"/>
        <v>0</v>
      </c>
      <c r="K92" s="89">
        <f t="shared" si="30"/>
        <v>39455</v>
      </c>
      <c r="L92" s="21">
        <f t="shared" si="34"/>
        <v>39455</v>
      </c>
      <c r="M92" s="21">
        <f t="shared" si="34"/>
        <v>0</v>
      </c>
      <c r="N92" s="21">
        <f t="shared" si="34"/>
        <v>0</v>
      </c>
      <c r="O92" s="21">
        <f t="shared" si="34"/>
        <v>0</v>
      </c>
      <c r="P92" s="22"/>
    </row>
    <row r="93" spans="1:16" s="29" customFormat="1" ht="15.75" customHeight="1">
      <c r="A93" s="24"/>
      <c r="B93" s="90" t="s">
        <v>38</v>
      </c>
      <c r="C93" s="91" t="s">
        <v>55</v>
      </c>
      <c r="D93" s="58">
        <f t="shared" ref="D93:J93" si="35">SUM(D94:D95)</f>
        <v>0</v>
      </c>
      <c r="E93" s="58">
        <f t="shared" ref="E93" si="36">SUM(E94:E95)</f>
        <v>0</v>
      </c>
      <c r="F93" s="58">
        <f t="shared" si="35"/>
        <v>150000</v>
      </c>
      <c r="G93" s="58">
        <f t="shared" si="35"/>
        <v>150000</v>
      </c>
      <c r="H93" s="58">
        <f t="shared" si="35"/>
        <v>0</v>
      </c>
      <c r="I93" s="58">
        <f t="shared" si="35"/>
        <v>0</v>
      </c>
      <c r="J93" s="58">
        <f t="shared" si="35"/>
        <v>0</v>
      </c>
      <c r="K93" s="59">
        <f t="shared" si="30"/>
        <v>39455</v>
      </c>
      <c r="L93" s="58">
        <f t="shared" ref="L93:O93" si="37">SUM(L94:L95)</f>
        <v>39455</v>
      </c>
      <c r="M93" s="58">
        <f t="shared" si="37"/>
        <v>0</v>
      </c>
      <c r="N93" s="58">
        <f t="shared" si="37"/>
        <v>0</v>
      </c>
      <c r="O93" s="58">
        <f t="shared" si="37"/>
        <v>0</v>
      </c>
      <c r="P93" s="28"/>
    </row>
    <row r="94" spans="1:16" ht="28.5" customHeight="1">
      <c r="A94" s="30"/>
      <c r="B94" s="31"/>
      <c r="C94" s="48" t="s">
        <v>87</v>
      </c>
      <c r="D94" s="41">
        <v>0</v>
      </c>
      <c r="E94" s="41">
        <v>0</v>
      </c>
      <c r="F94" s="41">
        <f>SUM(G94:J94)</f>
        <v>114000</v>
      </c>
      <c r="G94" s="41">
        <v>114000</v>
      </c>
      <c r="H94" s="44">
        <v>0</v>
      </c>
      <c r="I94" s="44">
        <v>0</v>
      </c>
      <c r="J94" s="44">
        <v>0</v>
      </c>
      <c r="K94" s="34">
        <f t="shared" si="30"/>
        <v>39455</v>
      </c>
      <c r="L94" s="42">
        <v>39455</v>
      </c>
      <c r="M94" s="45">
        <v>0</v>
      </c>
      <c r="N94" s="45">
        <v>0</v>
      </c>
      <c r="O94" s="45">
        <v>0</v>
      </c>
      <c r="P94" s="35" t="s">
        <v>14</v>
      </c>
    </row>
    <row r="95" spans="1:16" ht="16.5" customHeight="1">
      <c r="A95" s="78"/>
      <c r="B95" s="78"/>
      <c r="C95" s="140" t="s">
        <v>34</v>
      </c>
      <c r="D95" s="51">
        <v>0</v>
      </c>
      <c r="E95" s="51">
        <v>0</v>
      </c>
      <c r="F95" s="51">
        <f>SUM(G95:J95)</f>
        <v>36000</v>
      </c>
      <c r="G95" s="51">
        <v>36000</v>
      </c>
      <c r="H95" s="51">
        <v>0</v>
      </c>
      <c r="I95" s="51">
        <v>0</v>
      </c>
      <c r="J95" s="51">
        <v>0</v>
      </c>
      <c r="K95" s="68">
        <f t="shared" si="30"/>
        <v>0</v>
      </c>
      <c r="L95" s="68">
        <v>0</v>
      </c>
      <c r="M95" s="68">
        <v>0</v>
      </c>
      <c r="N95" s="68">
        <v>0</v>
      </c>
      <c r="O95" s="68">
        <v>0</v>
      </c>
      <c r="P95" s="46"/>
    </row>
    <row r="96" spans="1:16" ht="16.5" customHeight="1">
      <c r="A96" s="141" t="s">
        <v>163</v>
      </c>
      <c r="B96" s="141"/>
      <c r="C96" s="20" t="s">
        <v>164</v>
      </c>
      <c r="D96" s="94">
        <f>SUM(D97,D99)</f>
        <v>0</v>
      </c>
      <c r="E96" s="94">
        <f>SUM(E97,E99)</f>
        <v>0</v>
      </c>
      <c r="F96" s="94">
        <f>SUM(G96:J96)</f>
        <v>25900</v>
      </c>
      <c r="G96" s="94">
        <f>SUM(G97,G99)</f>
        <v>25900</v>
      </c>
      <c r="H96" s="94">
        <f t="shared" ref="H96:J96" si="38">SUM(H97,H99)</f>
        <v>0</v>
      </c>
      <c r="I96" s="94">
        <f t="shared" si="38"/>
        <v>0</v>
      </c>
      <c r="J96" s="94">
        <f t="shared" si="38"/>
        <v>0</v>
      </c>
      <c r="K96" s="94">
        <f>SUM(K97,K99)</f>
        <v>24649</v>
      </c>
      <c r="L96" s="94">
        <f>SUM(L97,L99)</f>
        <v>24649</v>
      </c>
      <c r="M96" s="94">
        <f t="shared" ref="M96:O96" si="39">SUM(M97,M99)</f>
        <v>0</v>
      </c>
      <c r="N96" s="94">
        <f t="shared" si="39"/>
        <v>0</v>
      </c>
      <c r="O96" s="94">
        <f t="shared" si="39"/>
        <v>0</v>
      </c>
      <c r="P96" s="142"/>
    </row>
    <row r="97" spans="1:16" ht="16.5" customHeight="1">
      <c r="A97" s="84"/>
      <c r="B97" s="90" t="s">
        <v>165</v>
      </c>
      <c r="C97" s="91" t="s">
        <v>166</v>
      </c>
      <c r="D97" s="58">
        <f>SUM(D98)</f>
        <v>0</v>
      </c>
      <c r="E97" s="58">
        <f>SUM(E98)</f>
        <v>0</v>
      </c>
      <c r="F97" s="58">
        <f>SUM(F98)</f>
        <v>11900</v>
      </c>
      <c r="G97" s="58">
        <f t="shared" ref="G97:J97" si="40">SUM(G98)</f>
        <v>11900</v>
      </c>
      <c r="H97" s="58">
        <f t="shared" si="40"/>
        <v>0</v>
      </c>
      <c r="I97" s="58">
        <f t="shared" si="40"/>
        <v>0</v>
      </c>
      <c r="J97" s="58">
        <f t="shared" si="40"/>
        <v>0</v>
      </c>
      <c r="K97" s="58">
        <f>SUM(K98)</f>
        <v>11808</v>
      </c>
      <c r="L97" s="58">
        <f>SUM(L98)</f>
        <v>11808</v>
      </c>
      <c r="M97" s="58">
        <f>SUM(M98:M100)</f>
        <v>0</v>
      </c>
      <c r="N97" s="58">
        <f>SUM(N98:N100)</f>
        <v>0</v>
      </c>
      <c r="O97" s="58">
        <f>SUM(O98:O100)</f>
        <v>0</v>
      </c>
      <c r="P97" s="28"/>
    </row>
    <row r="98" spans="1:16" ht="51">
      <c r="A98" s="143"/>
      <c r="B98" s="144"/>
      <c r="C98" s="145" t="s">
        <v>167</v>
      </c>
      <c r="D98" s="146">
        <v>0</v>
      </c>
      <c r="E98" s="146">
        <v>0</v>
      </c>
      <c r="F98" s="146">
        <f>SUM(G98:J98)</f>
        <v>11900</v>
      </c>
      <c r="G98" s="146">
        <v>11900</v>
      </c>
      <c r="H98" s="146">
        <v>0</v>
      </c>
      <c r="I98" s="146">
        <v>0</v>
      </c>
      <c r="J98" s="146">
        <v>0</v>
      </c>
      <c r="K98" s="147">
        <f>SUM(L98:O98)</f>
        <v>11808</v>
      </c>
      <c r="L98" s="148">
        <v>11808</v>
      </c>
      <c r="M98" s="148">
        <v>0</v>
      </c>
      <c r="N98" s="148">
        <v>0</v>
      </c>
      <c r="O98" s="148">
        <v>0</v>
      </c>
      <c r="P98" s="149" t="s">
        <v>168</v>
      </c>
    </row>
    <row r="99" spans="1:16" ht="16.5" customHeight="1">
      <c r="A99" s="83"/>
      <c r="B99" s="90" t="s">
        <v>169</v>
      </c>
      <c r="C99" s="91" t="s">
        <v>170</v>
      </c>
      <c r="D99" s="58">
        <f>SUM(D100)</f>
        <v>0</v>
      </c>
      <c r="E99" s="58">
        <f>SUM(E100)</f>
        <v>0</v>
      </c>
      <c r="F99" s="58">
        <f>SUM(F100)</f>
        <v>14000</v>
      </c>
      <c r="G99" s="58">
        <f>SUM(G100)</f>
        <v>14000</v>
      </c>
      <c r="H99" s="58">
        <f t="shared" ref="H99:J99" si="41">SUM(H100)</f>
        <v>0</v>
      </c>
      <c r="I99" s="58">
        <f t="shared" si="41"/>
        <v>0</v>
      </c>
      <c r="J99" s="58">
        <f t="shared" si="41"/>
        <v>0</v>
      </c>
      <c r="K99" s="58">
        <f>SUM(K100)</f>
        <v>12841</v>
      </c>
      <c r="L99" s="58">
        <f>SUM(L100)</f>
        <v>12841</v>
      </c>
      <c r="M99" s="58">
        <f t="shared" ref="M99:O99" si="42">SUM(M100)</f>
        <v>0</v>
      </c>
      <c r="N99" s="58">
        <f t="shared" si="42"/>
        <v>0</v>
      </c>
      <c r="O99" s="58">
        <f t="shared" si="42"/>
        <v>0</v>
      </c>
      <c r="P99" s="28"/>
    </row>
    <row r="100" spans="1:16" ht="25.5">
      <c r="A100" s="78"/>
      <c r="B100" s="123"/>
      <c r="C100" s="150" t="s">
        <v>171</v>
      </c>
      <c r="D100" s="151">
        <v>0</v>
      </c>
      <c r="E100" s="151">
        <v>0</v>
      </c>
      <c r="F100" s="151">
        <f>SUM(G100:J100)</f>
        <v>14000</v>
      </c>
      <c r="G100" s="151">
        <v>14000</v>
      </c>
      <c r="H100" s="151">
        <v>0</v>
      </c>
      <c r="I100" s="151">
        <v>0</v>
      </c>
      <c r="J100" s="151">
        <v>0</v>
      </c>
      <c r="K100" s="147">
        <f>SUM(L100:O100)</f>
        <v>12841</v>
      </c>
      <c r="L100" s="147">
        <v>12841</v>
      </c>
      <c r="M100" s="147">
        <v>0</v>
      </c>
      <c r="N100" s="147">
        <v>0</v>
      </c>
      <c r="O100" s="147">
        <v>0</v>
      </c>
      <c r="P100" s="54" t="s">
        <v>172</v>
      </c>
    </row>
    <row r="101" spans="1:16" s="23" customFormat="1" ht="14.25" customHeight="1">
      <c r="A101" s="19" t="s">
        <v>39</v>
      </c>
      <c r="B101" s="19"/>
      <c r="C101" s="20" t="s">
        <v>56</v>
      </c>
      <c r="D101" s="21">
        <f t="shared" ref="D101:J101" si="43">D102+D104+D110</f>
        <v>100000</v>
      </c>
      <c r="E101" s="21">
        <f t="shared" si="43"/>
        <v>28044</v>
      </c>
      <c r="F101" s="21">
        <f t="shared" si="43"/>
        <v>4973500</v>
      </c>
      <c r="G101" s="21">
        <f t="shared" si="43"/>
        <v>4973500</v>
      </c>
      <c r="H101" s="21">
        <f t="shared" si="43"/>
        <v>0</v>
      </c>
      <c r="I101" s="21">
        <f t="shared" si="43"/>
        <v>0</v>
      </c>
      <c r="J101" s="21">
        <f t="shared" si="43"/>
        <v>0</v>
      </c>
      <c r="K101" s="89">
        <f t="shared" si="30"/>
        <v>4741515</v>
      </c>
      <c r="L101" s="21">
        <f>L102+L104+L110</f>
        <v>4741515</v>
      </c>
      <c r="M101" s="21">
        <f>M102+M104+M110</f>
        <v>0</v>
      </c>
      <c r="N101" s="21">
        <f>N102+N104+N110</f>
        <v>0</v>
      </c>
      <c r="O101" s="21">
        <f>O102+O104+O110</f>
        <v>0</v>
      </c>
      <c r="P101" s="22"/>
    </row>
    <row r="102" spans="1:16" s="29" customFormat="1" ht="15.75" customHeight="1">
      <c r="A102" s="24"/>
      <c r="B102" s="56" t="s">
        <v>41</v>
      </c>
      <c r="C102" s="57" t="s">
        <v>57</v>
      </c>
      <c r="D102" s="58">
        <f t="shared" ref="D102:O102" si="44">SUM(D103)</f>
        <v>0</v>
      </c>
      <c r="E102" s="58">
        <f t="shared" si="44"/>
        <v>0</v>
      </c>
      <c r="F102" s="58">
        <f t="shared" si="44"/>
        <v>30000</v>
      </c>
      <c r="G102" s="58">
        <f t="shared" si="44"/>
        <v>30000</v>
      </c>
      <c r="H102" s="58">
        <f t="shared" si="44"/>
        <v>0</v>
      </c>
      <c r="I102" s="58">
        <f t="shared" si="44"/>
        <v>0</v>
      </c>
      <c r="J102" s="58">
        <f t="shared" si="44"/>
        <v>0</v>
      </c>
      <c r="K102" s="59">
        <f>SUM(K103)</f>
        <v>28460</v>
      </c>
      <c r="L102" s="58">
        <f t="shared" si="44"/>
        <v>28460</v>
      </c>
      <c r="M102" s="58">
        <f t="shared" si="44"/>
        <v>0</v>
      </c>
      <c r="N102" s="58">
        <f t="shared" si="44"/>
        <v>0</v>
      </c>
      <c r="O102" s="58">
        <f t="shared" si="44"/>
        <v>0</v>
      </c>
      <c r="P102" s="28"/>
    </row>
    <row r="103" spans="1:16" ht="14.25" customHeight="1">
      <c r="A103" s="30"/>
      <c r="B103" s="93"/>
      <c r="C103" s="79" t="s">
        <v>13</v>
      </c>
      <c r="D103" s="80">
        <v>0</v>
      </c>
      <c r="E103" s="80">
        <v>0</v>
      </c>
      <c r="F103" s="80">
        <f>SUM(G103:J103)</f>
        <v>30000</v>
      </c>
      <c r="G103" s="80">
        <v>30000</v>
      </c>
      <c r="H103" s="80">
        <v>0</v>
      </c>
      <c r="I103" s="80">
        <v>0</v>
      </c>
      <c r="J103" s="80">
        <v>0</v>
      </c>
      <c r="K103" s="34">
        <f t="shared" si="30"/>
        <v>28460</v>
      </c>
      <c r="L103" s="81">
        <v>28460</v>
      </c>
      <c r="M103" s="81">
        <v>0</v>
      </c>
      <c r="N103" s="81">
        <v>0</v>
      </c>
      <c r="O103" s="81">
        <v>0</v>
      </c>
      <c r="P103" s="82" t="s">
        <v>14</v>
      </c>
    </row>
    <row r="104" spans="1:16" s="29" customFormat="1" ht="15.75" customHeight="1">
      <c r="A104" s="55"/>
      <c r="B104" s="74" t="s">
        <v>40</v>
      </c>
      <c r="C104" s="75" t="s">
        <v>58</v>
      </c>
      <c r="D104" s="76">
        <f t="shared" ref="D104:E104" si="45">SUM(D105:D108)</f>
        <v>100000</v>
      </c>
      <c r="E104" s="76">
        <f t="shared" si="45"/>
        <v>28044</v>
      </c>
      <c r="F104" s="76">
        <f>SUM(F105:F109)</f>
        <v>4923500</v>
      </c>
      <c r="G104" s="76">
        <f>SUM(G105:G109)</f>
        <v>4923500</v>
      </c>
      <c r="H104" s="76">
        <f t="shared" ref="H104:J104" si="46">SUM(H105:H109)</f>
        <v>0</v>
      </c>
      <c r="I104" s="76">
        <f t="shared" si="46"/>
        <v>0</v>
      </c>
      <c r="J104" s="76">
        <f t="shared" si="46"/>
        <v>0</v>
      </c>
      <c r="K104" s="58">
        <f>SUM(K105:K109)</f>
        <v>4693055</v>
      </c>
      <c r="L104" s="76">
        <f>SUM(L105:L109)</f>
        <v>4693055</v>
      </c>
      <c r="M104" s="76">
        <f t="shared" ref="M104:O104" si="47">SUM(M105:M109)</f>
        <v>0</v>
      </c>
      <c r="N104" s="76">
        <f t="shared" si="47"/>
        <v>0</v>
      </c>
      <c r="O104" s="76">
        <f t="shared" si="47"/>
        <v>0</v>
      </c>
      <c r="P104" s="152"/>
    </row>
    <row r="105" spans="1:16" ht="38.25">
      <c r="A105" s="30"/>
      <c r="B105" s="31"/>
      <c r="C105" s="69" t="s">
        <v>140</v>
      </c>
      <c r="D105" s="70">
        <v>0</v>
      </c>
      <c r="E105" s="70">
        <v>0</v>
      </c>
      <c r="F105" s="67">
        <f t="shared" ref="F105:F108" si="48">SUM(G105:J105)</f>
        <v>4265000</v>
      </c>
      <c r="G105" s="67">
        <v>4265000</v>
      </c>
      <c r="H105" s="70">
        <v>0</v>
      </c>
      <c r="I105" s="70">
        <v>0</v>
      </c>
      <c r="J105" s="70">
        <v>0</v>
      </c>
      <c r="K105" s="67">
        <f t="shared" si="30"/>
        <v>4086639</v>
      </c>
      <c r="L105" s="67">
        <v>4086639</v>
      </c>
      <c r="M105" s="67">
        <v>0</v>
      </c>
      <c r="N105" s="67">
        <v>0</v>
      </c>
      <c r="O105" s="67">
        <v>0</v>
      </c>
      <c r="P105" s="35" t="s">
        <v>14</v>
      </c>
    </row>
    <row r="106" spans="1:16" s="64" customFormat="1" ht="14.25" customHeight="1">
      <c r="A106" s="71"/>
      <c r="B106" s="71"/>
      <c r="C106" s="40" t="s">
        <v>34</v>
      </c>
      <c r="D106" s="111">
        <v>0</v>
      </c>
      <c r="E106" s="111">
        <v>0</v>
      </c>
      <c r="F106" s="111">
        <f t="shared" si="48"/>
        <v>579978</v>
      </c>
      <c r="G106" s="111">
        <v>579978</v>
      </c>
      <c r="H106" s="111">
        <v>0</v>
      </c>
      <c r="I106" s="111">
        <v>0</v>
      </c>
      <c r="J106" s="111">
        <v>0</v>
      </c>
      <c r="K106" s="42">
        <f t="shared" si="30"/>
        <v>528044</v>
      </c>
      <c r="L106" s="112">
        <v>528044</v>
      </c>
      <c r="M106" s="112">
        <v>0</v>
      </c>
      <c r="N106" s="112">
        <v>0</v>
      </c>
      <c r="O106" s="112">
        <v>0</v>
      </c>
      <c r="P106" s="39"/>
    </row>
    <row r="107" spans="1:16" s="64" customFormat="1" ht="14.25" customHeight="1">
      <c r="A107" s="153"/>
      <c r="B107" s="153"/>
      <c r="C107" s="49" t="s">
        <v>85</v>
      </c>
      <c r="D107" s="50">
        <v>0</v>
      </c>
      <c r="E107" s="50">
        <v>0</v>
      </c>
      <c r="F107" s="50">
        <f t="shared" si="48"/>
        <v>70022</v>
      </c>
      <c r="G107" s="50">
        <v>70022</v>
      </c>
      <c r="H107" s="50">
        <v>0</v>
      </c>
      <c r="I107" s="50">
        <v>0</v>
      </c>
      <c r="J107" s="50">
        <v>0</v>
      </c>
      <c r="K107" s="68">
        <f t="shared" si="30"/>
        <v>70022</v>
      </c>
      <c r="L107" s="52">
        <v>70022</v>
      </c>
      <c r="M107" s="52">
        <v>0</v>
      </c>
      <c r="N107" s="52">
        <v>0</v>
      </c>
      <c r="O107" s="52">
        <v>0</v>
      </c>
      <c r="P107" s="39"/>
    </row>
    <row r="108" spans="1:16" s="64" customFormat="1" ht="14.25" customHeight="1">
      <c r="A108" s="71"/>
      <c r="B108" s="71"/>
      <c r="C108" s="154" t="s">
        <v>69</v>
      </c>
      <c r="D108" s="155">
        <v>100000</v>
      </c>
      <c r="E108" s="155">
        <v>28044</v>
      </c>
      <c r="F108" s="155">
        <f t="shared" si="48"/>
        <v>0</v>
      </c>
      <c r="G108" s="155">
        <v>0</v>
      </c>
      <c r="H108" s="155">
        <v>0</v>
      </c>
      <c r="I108" s="155">
        <v>0</v>
      </c>
      <c r="J108" s="155">
        <v>0</v>
      </c>
      <c r="K108" s="45">
        <f t="shared" si="30"/>
        <v>0</v>
      </c>
      <c r="L108" s="156">
        <v>0</v>
      </c>
      <c r="M108" s="156">
        <v>0</v>
      </c>
      <c r="N108" s="156">
        <v>0</v>
      </c>
      <c r="O108" s="157">
        <v>0</v>
      </c>
      <c r="P108" s="39"/>
    </row>
    <row r="109" spans="1:16" s="64" customFormat="1" ht="25.5">
      <c r="A109" s="71"/>
      <c r="B109" s="71"/>
      <c r="C109" s="158" t="s">
        <v>176</v>
      </c>
      <c r="D109" s="99">
        <v>0</v>
      </c>
      <c r="E109" s="99">
        <v>0</v>
      </c>
      <c r="F109" s="99">
        <f>SUM(G109:J109)</f>
        <v>8500</v>
      </c>
      <c r="G109" s="99">
        <v>8500</v>
      </c>
      <c r="H109" s="99">
        <v>0</v>
      </c>
      <c r="I109" s="99">
        <v>0</v>
      </c>
      <c r="J109" s="99">
        <v>0</v>
      </c>
      <c r="K109" s="52">
        <f>SUM(L109:O109)</f>
        <v>8350</v>
      </c>
      <c r="L109" s="101">
        <v>8350</v>
      </c>
      <c r="M109" s="101"/>
      <c r="N109" s="101"/>
      <c r="O109" s="159"/>
      <c r="P109" s="46"/>
    </row>
    <row r="110" spans="1:16" s="29" customFormat="1" ht="15.75" customHeight="1">
      <c r="A110" s="55"/>
      <c r="B110" s="56" t="s">
        <v>88</v>
      </c>
      <c r="C110" s="57" t="s">
        <v>89</v>
      </c>
      <c r="D110" s="58">
        <f t="shared" ref="D110:O110" si="49">SUM(D111)</f>
        <v>0</v>
      </c>
      <c r="E110" s="58">
        <f t="shared" si="49"/>
        <v>0</v>
      </c>
      <c r="F110" s="58">
        <f t="shared" si="49"/>
        <v>20000</v>
      </c>
      <c r="G110" s="58">
        <f t="shared" si="49"/>
        <v>20000</v>
      </c>
      <c r="H110" s="58">
        <f t="shared" si="49"/>
        <v>0</v>
      </c>
      <c r="I110" s="58">
        <f t="shared" si="49"/>
        <v>0</v>
      </c>
      <c r="J110" s="58">
        <f t="shared" si="49"/>
        <v>0</v>
      </c>
      <c r="K110" s="59">
        <f t="shared" si="30"/>
        <v>20000</v>
      </c>
      <c r="L110" s="58">
        <f t="shared" si="49"/>
        <v>20000</v>
      </c>
      <c r="M110" s="58">
        <f t="shared" si="49"/>
        <v>0</v>
      </c>
      <c r="N110" s="58">
        <f t="shared" si="49"/>
        <v>0</v>
      </c>
      <c r="O110" s="160">
        <f t="shared" si="49"/>
        <v>0</v>
      </c>
      <c r="P110" s="28"/>
    </row>
    <row r="111" spans="1:16" ht="14.25" customHeight="1">
      <c r="A111" s="83"/>
      <c r="B111" s="78"/>
      <c r="C111" s="79" t="s">
        <v>34</v>
      </c>
      <c r="D111" s="80">
        <v>0</v>
      </c>
      <c r="E111" s="86"/>
      <c r="F111" s="161">
        <f>SUM(G111:J111)</f>
        <v>20000</v>
      </c>
      <c r="G111" s="80">
        <v>20000</v>
      </c>
      <c r="H111" s="80">
        <v>0</v>
      </c>
      <c r="I111" s="80">
        <v>0</v>
      </c>
      <c r="J111" s="80">
        <v>0</v>
      </c>
      <c r="K111" s="34">
        <f t="shared" si="30"/>
        <v>20000</v>
      </c>
      <c r="L111" s="81">
        <v>20000</v>
      </c>
      <c r="M111" s="81">
        <v>0</v>
      </c>
      <c r="N111" s="81">
        <v>0</v>
      </c>
      <c r="O111" s="81">
        <v>0</v>
      </c>
      <c r="P111" s="82" t="s">
        <v>14</v>
      </c>
    </row>
    <row r="112" spans="1:16" s="23" customFormat="1" ht="14.25" customHeight="1">
      <c r="A112" s="19" t="s">
        <v>134</v>
      </c>
      <c r="B112" s="19"/>
      <c r="C112" s="20" t="s">
        <v>136</v>
      </c>
      <c r="D112" s="21">
        <f>D113</f>
        <v>0</v>
      </c>
      <c r="E112" s="21">
        <f>E113</f>
        <v>0</v>
      </c>
      <c r="F112" s="21">
        <f t="shared" ref="F112:O112" si="50">F113</f>
        <v>232997</v>
      </c>
      <c r="G112" s="21">
        <f t="shared" si="50"/>
        <v>232997</v>
      </c>
      <c r="H112" s="21">
        <f t="shared" si="50"/>
        <v>0</v>
      </c>
      <c r="I112" s="21">
        <f t="shared" si="50"/>
        <v>0</v>
      </c>
      <c r="J112" s="21">
        <f t="shared" si="50"/>
        <v>0</v>
      </c>
      <c r="K112" s="162">
        <f t="shared" si="30"/>
        <v>232988</v>
      </c>
      <c r="L112" s="21">
        <f t="shared" si="50"/>
        <v>232988</v>
      </c>
      <c r="M112" s="21">
        <f t="shared" si="50"/>
        <v>0</v>
      </c>
      <c r="N112" s="21">
        <f t="shared" si="50"/>
        <v>0</v>
      </c>
      <c r="O112" s="21">
        <f t="shared" si="50"/>
        <v>0</v>
      </c>
      <c r="P112" s="22"/>
    </row>
    <row r="113" spans="1:16" s="29" customFormat="1" ht="15.75" customHeight="1">
      <c r="A113" s="24"/>
      <c r="B113" s="56" t="s">
        <v>135</v>
      </c>
      <c r="C113" s="91" t="s">
        <v>137</v>
      </c>
      <c r="D113" s="58">
        <f>SUM(D114:D115)</f>
        <v>0</v>
      </c>
      <c r="E113" s="58">
        <f>SUM(E114:E115)</f>
        <v>0</v>
      </c>
      <c r="F113" s="58">
        <f>SUM(F114:F115)</f>
        <v>232997</v>
      </c>
      <c r="G113" s="58">
        <f t="shared" ref="G113:J113" si="51">SUM(G114:G115)</f>
        <v>232997</v>
      </c>
      <c r="H113" s="58">
        <f t="shared" si="51"/>
        <v>0</v>
      </c>
      <c r="I113" s="58">
        <f t="shared" si="51"/>
        <v>0</v>
      </c>
      <c r="J113" s="58">
        <f t="shared" si="51"/>
        <v>0</v>
      </c>
      <c r="K113" s="59">
        <f t="shared" si="30"/>
        <v>232988</v>
      </c>
      <c r="L113" s="58">
        <f t="shared" ref="L113:O113" si="52">SUM(L114:L115)</f>
        <v>232988</v>
      </c>
      <c r="M113" s="58">
        <f t="shared" si="52"/>
        <v>0</v>
      </c>
      <c r="N113" s="58">
        <f t="shared" si="52"/>
        <v>0</v>
      </c>
      <c r="O113" s="58">
        <f t="shared" si="52"/>
        <v>0</v>
      </c>
      <c r="P113" s="28"/>
    </row>
    <row r="114" spans="1:16" ht="42" customHeight="1">
      <c r="A114" s="30"/>
      <c r="B114" s="102"/>
      <c r="C114" s="163" t="s">
        <v>138</v>
      </c>
      <c r="D114" s="136">
        <v>0</v>
      </c>
      <c r="E114" s="136">
        <v>0</v>
      </c>
      <c r="F114" s="136">
        <f>SUM(G114:J114)</f>
        <v>62997</v>
      </c>
      <c r="G114" s="136">
        <v>62997</v>
      </c>
      <c r="H114" s="136">
        <v>0</v>
      </c>
      <c r="I114" s="136">
        <v>0</v>
      </c>
      <c r="J114" s="136">
        <v>0</v>
      </c>
      <c r="K114" s="138">
        <f t="shared" si="30"/>
        <v>62997</v>
      </c>
      <c r="L114" s="164">
        <v>62997</v>
      </c>
      <c r="M114" s="164">
        <v>0</v>
      </c>
      <c r="N114" s="164">
        <v>0</v>
      </c>
      <c r="O114" s="164">
        <v>0</v>
      </c>
      <c r="P114" s="82" t="s">
        <v>104</v>
      </c>
    </row>
    <row r="115" spans="1:16" ht="51">
      <c r="A115" s="30"/>
      <c r="B115" s="31"/>
      <c r="C115" s="165" t="s">
        <v>139</v>
      </c>
      <c r="D115" s="161">
        <v>0</v>
      </c>
      <c r="E115" s="161">
        <v>0</v>
      </c>
      <c r="F115" s="161">
        <f>SUM(G115:J115)</f>
        <v>170000</v>
      </c>
      <c r="G115" s="161">
        <v>170000</v>
      </c>
      <c r="H115" s="161">
        <v>0</v>
      </c>
      <c r="I115" s="161">
        <v>0</v>
      </c>
      <c r="J115" s="161">
        <v>0</v>
      </c>
      <c r="K115" s="138">
        <f t="shared" si="30"/>
        <v>169991</v>
      </c>
      <c r="L115" s="166">
        <v>169991</v>
      </c>
      <c r="M115" s="166">
        <v>0</v>
      </c>
      <c r="N115" s="166">
        <v>0</v>
      </c>
      <c r="O115" s="166">
        <v>0</v>
      </c>
      <c r="P115" s="88" t="s">
        <v>107</v>
      </c>
    </row>
    <row r="116" spans="1:16" s="23" customFormat="1" ht="14.25" customHeight="1">
      <c r="A116" s="19" t="s">
        <v>90</v>
      </c>
      <c r="B116" s="19"/>
      <c r="C116" s="20" t="s">
        <v>95</v>
      </c>
      <c r="D116" s="21">
        <f t="shared" ref="D116:J116" si="53">D117+D120+D123+D125</f>
        <v>100100</v>
      </c>
      <c r="E116" s="21">
        <f t="shared" ref="E116" si="54">E117+E120+E123+E125</f>
        <v>98913</v>
      </c>
      <c r="F116" s="21">
        <f t="shared" si="53"/>
        <v>242948</v>
      </c>
      <c r="G116" s="21">
        <f t="shared" si="53"/>
        <v>242948</v>
      </c>
      <c r="H116" s="21">
        <f t="shared" si="53"/>
        <v>0</v>
      </c>
      <c r="I116" s="21">
        <f t="shared" si="53"/>
        <v>0</v>
      </c>
      <c r="J116" s="21">
        <f t="shared" si="53"/>
        <v>0</v>
      </c>
      <c r="K116" s="89">
        <f t="shared" si="30"/>
        <v>242947</v>
      </c>
      <c r="L116" s="21">
        <f t="shared" ref="L116:O116" si="55">L117+L120+L123+L125</f>
        <v>242947</v>
      </c>
      <c r="M116" s="21">
        <f t="shared" si="55"/>
        <v>0</v>
      </c>
      <c r="N116" s="21">
        <f t="shared" si="55"/>
        <v>0</v>
      </c>
      <c r="O116" s="21">
        <f t="shared" si="55"/>
        <v>0</v>
      </c>
      <c r="P116" s="22"/>
    </row>
    <row r="117" spans="1:16" s="29" customFormat="1" ht="15.75" customHeight="1">
      <c r="A117" s="24"/>
      <c r="B117" s="56" t="s">
        <v>91</v>
      </c>
      <c r="C117" s="91" t="s">
        <v>96</v>
      </c>
      <c r="D117" s="58">
        <f>SUM(D118:D119)</f>
        <v>100</v>
      </c>
      <c r="E117" s="58">
        <f>SUM(E118:E119)</f>
        <v>0</v>
      </c>
      <c r="F117" s="58">
        <f t="shared" ref="F117:J117" si="56">SUM(F118:F119)</f>
        <v>100000</v>
      </c>
      <c r="G117" s="58">
        <f t="shared" si="56"/>
        <v>100000</v>
      </c>
      <c r="H117" s="58">
        <f t="shared" si="56"/>
        <v>0</v>
      </c>
      <c r="I117" s="58">
        <f t="shared" si="56"/>
        <v>0</v>
      </c>
      <c r="J117" s="58">
        <f t="shared" si="56"/>
        <v>0</v>
      </c>
      <c r="K117" s="59">
        <f t="shared" si="30"/>
        <v>100000</v>
      </c>
      <c r="L117" s="58">
        <f t="shared" ref="L117:O117" si="57">SUM(L118:L119)</f>
        <v>100000</v>
      </c>
      <c r="M117" s="58">
        <f t="shared" si="57"/>
        <v>0</v>
      </c>
      <c r="N117" s="58">
        <f t="shared" si="57"/>
        <v>0</v>
      </c>
      <c r="O117" s="58">
        <f t="shared" si="57"/>
        <v>0</v>
      </c>
      <c r="P117" s="28"/>
    </row>
    <row r="118" spans="1:16" ht="21" customHeight="1">
      <c r="A118" s="30"/>
      <c r="B118" s="102"/>
      <c r="C118" s="47" t="s">
        <v>97</v>
      </c>
      <c r="D118" s="137">
        <v>0</v>
      </c>
      <c r="E118" s="137">
        <v>0</v>
      </c>
      <c r="F118" s="137">
        <f>SUM(G118:J118)</f>
        <v>100000</v>
      </c>
      <c r="G118" s="137">
        <v>100000</v>
      </c>
      <c r="H118" s="137">
        <v>0</v>
      </c>
      <c r="I118" s="137">
        <v>0</v>
      </c>
      <c r="J118" s="137">
        <v>0</v>
      </c>
      <c r="K118" s="138">
        <f t="shared" si="30"/>
        <v>100000</v>
      </c>
      <c r="L118" s="138">
        <v>100000</v>
      </c>
      <c r="M118" s="138">
        <v>0</v>
      </c>
      <c r="N118" s="138">
        <v>0</v>
      </c>
      <c r="O118" s="138">
        <v>0</v>
      </c>
      <c r="P118" s="35" t="s">
        <v>100</v>
      </c>
    </row>
    <row r="119" spans="1:16" ht="41.25" customHeight="1">
      <c r="A119" s="30"/>
      <c r="B119" s="93"/>
      <c r="C119" s="140" t="s">
        <v>128</v>
      </c>
      <c r="D119" s="51">
        <v>100</v>
      </c>
      <c r="E119" s="51">
        <v>0</v>
      </c>
      <c r="F119" s="51">
        <f>SUM(G119:J119)</f>
        <v>0</v>
      </c>
      <c r="G119" s="51">
        <v>0</v>
      </c>
      <c r="H119" s="51">
        <v>0</v>
      </c>
      <c r="I119" s="51">
        <v>0</v>
      </c>
      <c r="J119" s="51">
        <v>0</v>
      </c>
      <c r="K119" s="68">
        <f t="shared" si="30"/>
        <v>0</v>
      </c>
      <c r="L119" s="68">
        <v>0</v>
      </c>
      <c r="M119" s="68">
        <v>0</v>
      </c>
      <c r="N119" s="68">
        <v>0</v>
      </c>
      <c r="O119" s="68">
        <v>0</v>
      </c>
      <c r="P119" s="46"/>
    </row>
    <row r="120" spans="1:16" s="29" customFormat="1" ht="15.75" customHeight="1">
      <c r="A120" s="55"/>
      <c r="B120" s="56" t="s">
        <v>92</v>
      </c>
      <c r="C120" s="57" t="s">
        <v>98</v>
      </c>
      <c r="D120" s="58">
        <f t="shared" ref="D120:J120" si="58">SUM(D121:D121)</f>
        <v>0</v>
      </c>
      <c r="E120" s="58">
        <f t="shared" si="58"/>
        <v>0</v>
      </c>
      <c r="F120" s="58">
        <f>SUM(G120:J120)</f>
        <v>74000</v>
      </c>
      <c r="G120" s="58">
        <f>SUM(G121:G122)</f>
        <v>74000</v>
      </c>
      <c r="H120" s="58">
        <f t="shared" si="58"/>
        <v>0</v>
      </c>
      <c r="I120" s="58">
        <f t="shared" si="58"/>
        <v>0</v>
      </c>
      <c r="J120" s="58">
        <f t="shared" si="58"/>
        <v>0</v>
      </c>
      <c r="K120" s="58">
        <f>SUM(L120:O120)</f>
        <v>74000</v>
      </c>
      <c r="L120" s="58">
        <f>SUM(L121:L122)</f>
        <v>74000</v>
      </c>
      <c r="M120" s="58">
        <f t="shared" ref="M120:O120" si="59">SUM(M121:M122)</f>
        <v>0</v>
      </c>
      <c r="N120" s="58">
        <f t="shared" si="59"/>
        <v>0</v>
      </c>
      <c r="O120" s="58">
        <f t="shared" si="59"/>
        <v>0</v>
      </c>
      <c r="P120" s="28"/>
    </row>
    <row r="121" spans="1:16" s="64" customFormat="1" ht="25.5">
      <c r="A121" s="71"/>
      <c r="B121" s="71"/>
      <c r="C121" s="167" t="s">
        <v>99</v>
      </c>
      <c r="D121" s="168">
        <f>10800+1200-10800-1200</f>
        <v>0</v>
      </c>
      <c r="E121" s="168">
        <v>0</v>
      </c>
      <c r="F121" s="168">
        <f>SUM(G121:J121)</f>
        <v>14000</v>
      </c>
      <c r="G121" s="168">
        <v>14000</v>
      </c>
      <c r="H121" s="168">
        <v>0</v>
      </c>
      <c r="I121" s="168">
        <v>0</v>
      </c>
      <c r="J121" s="168">
        <v>0</v>
      </c>
      <c r="K121" s="169">
        <f t="shared" si="30"/>
        <v>14000</v>
      </c>
      <c r="L121" s="169">
        <v>14000</v>
      </c>
      <c r="M121" s="169">
        <v>0</v>
      </c>
      <c r="N121" s="169">
        <v>0</v>
      </c>
      <c r="O121" s="169">
        <v>0</v>
      </c>
      <c r="P121" s="82" t="s">
        <v>154</v>
      </c>
    </row>
    <row r="122" spans="1:16" s="64" customFormat="1" ht="38.25">
      <c r="A122" s="153"/>
      <c r="B122" s="153"/>
      <c r="C122" s="170" t="s">
        <v>173</v>
      </c>
      <c r="D122" s="50">
        <v>0</v>
      </c>
      <c r="E122" s="50">
        <v>0</v>
      </c>
      <c r="F122" s="50">
        <f>SUM(G122:J122)</f>
        <v>60000</v>
      </c>
      <c r="G122" s="50">
        <v>60000</v>
      </c>
      <c r="H122" s="50"/>
      <c r="I122" s="50"/>
      <c r="J122" s="50"/>
      <c r="K122" s="52">
        <f t="shared" si="30"/>
        <v>60000</v>
      </c>
      <c r="L122" s="52">
        <v>60000</v>
      </c>
      <c r="M122" s="52"/>
      <c r="N122" s="52"/>
      <c r="O122" s="52"/>
      <c r="P122" s="88" t="s">
        <v>178</v>
      </c>
    </row>
    <row r="123" spans="1:16" s="29" customFormat="1" ht="16.5" customHeight="1">
      <c r="A123" s="55"/>
      <c r="B123" s="56" t="s">
        <v>93</v>
      </c>
      <c r="C123" s="75" t="s">
        <v>101</v>
      </c>
      <c r="D123" s="76">
        <f t="shared" ref="D123:E123" si="60">SUM(D124)</f>
        <v>0</v>
      </c>
      <c r="E123" s="76">
        <f t="shared" si="60"/>
        <v>0</v>
      </c>
      <c r="F123" s="76">
        <f t="shared" ref="F123" si="61">SUM(F124)</f>
        <v>68948</v>
      </c>
      <c r="G123" s="76">
        <f t="shared" ref="G123" si="62">SUM(G124)</f>
        <v>68948</v>
      </c>
      <c r="H123" s="76">
        <f t="shared" ref="H123" si="63">SUM(H124)</f>
        <v>0</v>
      </c>
      <c r="I123" s="76">
        <f t="shared" ref="I123" si="64">SUM(I124)</f>
        <v>0</v>
      </c>
      <c r="J123" s="76">
        <f t="shared" ref="J123:O123" si="65">SUM(J124)</f>
        <v>0</v>
      </c>
      <c r="K123" s="59">
        <f t="shared" si="30"/>
        <v>68947</v>
      </c>
      <c r="L123" s="76">
        <f t="shared" si="65"/>
        <v>68947</v>
      </c>
      <c r="M123" s="76">
        <f t="shared" si="65"/>
        <v>0</v>
      </c>
      <c r="N123" s="76">
        <f t="shared" si="65"/>
        <v>0</v>
      </c>
      <c r="O123" s="76">
        <f t="shared" si="65"/>
        <v>0</v>
      </c>
      <c r="P123" s="152"/>
    </row>
    <row r="124" spans="1:16" ht="51">
      <c r="A124" s="92"/>
      <c r="B124" s="78"/>
      <c r="C124" s="163" t="s">
        <v>102</v>
      </c>
      <c r="D124" s="136">
        <v>0</v>
      </c>
      <c r="E124" s="161">
        <v>0</v>
      </c>
      <c r="F124" s="161">
        <f>SUM(G124:J124)</f>
        <v>68948</v>
      </c>
      <c r="G124" s="136">
        <v>68948</v>
      </c>
      <c r="H124" s="136">
        <v>0</v>
      </c>
      <c r="I124" s="136">
        <v>0</v>
      </c>
      <c r="J124" s="136">
        <v>0</v>
      </c>
      <c r="K124" s="164">
        <f t="shared" si="30"/>
        <v>68947</v>
      </c>
      <c r="L124" s="164">
        <v>68947</v>
      </c>
      <c r="M124" s="164">
        <v>0</v>
      </c>
      <c r="N124" s="164">
        <v>0</v>
      </c>
      <c r="O124" s="164">
        <v>0</v>
      </c>
      <c r="P124" s="82" t="s">
        <v>155</v>
      </c>
    </row>
    <row r="125" spans="1:16" s="29" customFormat="1" ht="16.5" customHeight="1">
      <c r="A125" s="24"/>
      <c r="B125" s="74" t="s">
        <v>94</v>
      </c>
      <c r="C125" s="75" t="s">
        <v>103</v>
      </c>
      <c r="D125" s="76">
        <f t="shared" ref="D125:E125" si="66">SUM(D126)</f>
        <v>100000</v>
      </c>
      <c r="E125" s="76">
        <f t="shared" si="66"/>
        <v>98913</v>
      </c>
      <c r="F125" s="76">
        <f t="shared" ref="F125" si="67">SUM(F126)</f>
        <v>0</v>
      </c>
      <c r="G125" s="76">
        <f t="shared" ref="G125" si="68">SUM(G126)</f>
        <v>0</v>
      </c>
      <c r="H125" s="76">
        <f t="shared" ref="H125" si="69">SUM(H126)</f>
        <v>0</v>
      </c>
      <c r="I125" s="76">
        <f t="shared" ref="I125" si="70">SUM(I126)</f>
        <v>0</v>
      </c>
      <c r="J125" s="76">
        <f t="shared" ref="J125:O125" si="71">SUM(J126)</f>
        <v>0</v>
      </c>
      <c r="K125" s="76">
        <f t="shared" si="30"/>
        <v>0</v>
      </c>
      <c r="L125" s="76">
        <f t="shared" si="71"/>
        <v>0</v>
      </c>
      <c r="M125" s="76">
        <f t="shared" si="71"/>
        <v>0</v>
      </c>
      <c r="N125" s="76">
        <f t="shared" si="71"/>
        <v>0</v>
      </c>
      <c r="O125" s="76">
        <f t="shared" si="71"/>
        <v>0</v>
      </c>
      <c r="P125" s="152"/>
    </row>
    <row r="126" spans="1:16" ht="63.75">
      <c r="A126" s="83"/>
      <c r="B126" s="78"/>
      <c r="C126" s="79" t="s">
        <v>122</v>
      </c>
      <c r="D126" s="136">
        <v>100000</v>
      </c>
      <c r="E126" s="161">
        <v>98913</v>
      </c>
      <c r="F126" s="161">
        <f>SUM(G126:J126)</f>
        <v>0</v>
      </c>
      <c r="G126" s="136">
        <v>0</v>
      </c>
      <c r="H126" s="136">
        <v>0</v>
      </c>
      <c r="I126" s="136">
        <v>0</v>
      </c>
      <c r="J126" s="136">
        <v>0</v>
      </c>
      <c r="K126" s="138">
        <f t="shared" si="30"/>
        <v>0</v>
      </c>
      <c r="L126" s="164">
        <v>0</v>
      </c>
      <c r="M126" s="164">
        <v>0</v>
      </c>
      <c r="N126" s="164">
        <v>0</v>
      </c>
      <c r="O126" s="164">
        <v>0</v>
      </c>
      <c r="P126" s="82" t="s">
        <v>117</v>
      </c>
    </row>
    <row r="127" spans="1:16" s="23" customFormat="1" ht="14.25" customHeight="1">
      <c r="A127" s="19" t="s">
        <v>42</v>
      </c>
      <c r="B127" s="19"/>
      <c r="C127" s="20" t="s">
        <v>59</v>
      </c>
      <c r="D127" s="21">
        <f>D128+D130</f>
        <v>145100</v>
      </c>
      <c r="E127" s="21">
        <f>E128+E130</f>
        <v>114012</v>
      </c>
      <c r="F127" s="21">
        <f t="shared" ref="F127:J127" si="72">F128+F130</f>
        <v>0</v>
      </c>
      <c r="G127" s="21">
        <f>G128+G130</f>
        <v>0</v>
      </c>
      <c r="H127" s="21">
        <f t="shared" si="72"/>
        <v>0</v>
      </c>
      <c r="I127" s="21">
        <f t="shared" si="72"/>
        <v>0</v>
      </c>
      <c r="J127" s="21">
        <f t="shared" si="72"/>
        <v>0</v>
      </c>
      <c r="K127" s="89">
        <f t="shared" si="30"/>
        <v>0</v>
      </c>
      <c r="L127" s="21">
        <f>L128+L130</f>
        <v>0</v>
      </c>
      <c r="M127" s="21">
        <f t="shared" ref="M127:O127" si="73">M128+M130</f>
        <v>0</v>
      </c>
      <c r="N127" s="21">
        <f t="shared" si="73"/>
        <v>0</v>
      </c>
      <c r="O127" s="21">
        <f t="shared" si="73"/>
        <v>0</v>
      </c>
      <c r="P127" s="22"/>
    </row>
    <row r="128" spans="1:16" s="29" customFormat="1" ht="15.75" customHeight="1">
      <c r="A128" s="24"/>
      <c r="B128" s="56" t="s">
        <v>43</v>
      </c>
      <c r="C128" s="57" t="s">
        <v>60</v>
      </c>
      <c r="D128" s="58">
        <f t="shared" ref="D128:O130" si="74">SUM(D129:D129)</f>
        <v>125100</v>
      </c>
      <c r="E128" s="58">
        <f t="shared" si="74"/>
        <v>114012</v>
      </c>
      <c r="F128" s="58">
        <f t="shared" si="74"/>
        <v>0</v>
      </c>
      <c r="G128" s="58">
        <f t="shared" si="74"/>
        <v>0</v>
      </c>
      <c r="H128" s="58">
        <f t="shared" si="74"/>
        <v>0</v>
      </c>
      <c r="I128" s="58">
        <f t="shared" si="74"/>
        <v>0</v>
      </c>
      <c r="J128" s="58">
        <f t="shared" si="74"/>
        <v>0</v>
      </c>
      <c r="K128" s="59">
        <f t="shared" si="30"/>
        <v>0</v>
      </c>
      <c r="L128" s="58">
        <f t="shared" si="74"/>
        <v>0</v>
      </c>
      <c r="M128" s="58">
        <f t="shared" si="74"/>
        <v>0</v>
      </c>
      <c r="N128" s="58">
        <f t="shared" si="74"/>
        <v>0</v>
      </c>
      <c r="O128" s="58">
        <f t="shared" si="74"/>
        <v>0</v>
      </c>
      <c r="P128" s="28"/>
    </row>
    <row r="129" spans="1:16" s="64" customFormat="1" ht="25.5">
      <c r="A129" s="71"/>
      <c r="B129" s="72"/>
      <c r="C129" s="163" t="s">
        <v>77</v>
      </c>
      <c r="D129" s="136">
        <v>125100</v>
      </c>
      <c r="E129" s="136">
        <v>114012</v>
      </c>
      <c r="F129" s="136">
        <f>SUM(G129:J129)</f>
        <v>0</v>
      </c>
      <c r="G129" s="136">
        <v>0</v>
      </c>
      <c r="H129" s="136">
        <v>0</v>
      </c>
      <c r="I129" s="136">
        <v>0</v>
      </c>
      <c r="J129" s="136">
        <v>0</v>
      </c>
      <c r="K129" s="138">
        <f t="shared" si="30"/>
        <v>0</v>
      </c>
      <c r="L129" s="164">
        <v>0</v>
      </c>
      <c r="M129" s="164">
        <v>0</v>
      </c>
      <c r="N129" s="164">
        <v>0</v>
      </c>
      <c r="O129" s="164">
        <v>0</v>
      </c>
      <c r="P129" s="149" t="s">
        <v>156</v>
      </c>
    </row>
    <row r="130" spans="1:16" s="29" customFormat="1" ht="15.75" customHeight="1">
      <c r="A130" s="55"/>
      <c r="B130" s="56" t="s">
        <v>146</v>
      </c>
      <c r="C130" s="57" t="s">
        <v>53</v>
      </c>
      <c r="D130" s="58">
        <f t="shared" si="74"/>
        <v>20000</v>
      </c>
      <c r="E130" s="58">
        <f t="shared" si="74"/>
        <v>0</v>
      </c>
      <c r="F130" s="58">
        <f t="shared" si="74"/>
        <v>0</v>
      </c>
      <c r="G130" s="58">
        <f t="shared" si="74"/>
        <v>0</v>
      </c>
      <c r="H130" s="58">
        <f t="shared" si="74"/>
        <v>0</v>
      </c>
      <c r="I130" s="58">
        <f t="shared" si="74"/>
        <v>0</v>
      </c>
      <c r="J130" s="58">
        <f t="shared" si="74"/>
        <v>0</v>
      </c>
      <c r="K130" s="59">
        <f t="shared" si="30"/>
        <v>0</v>
      </c>
      <c r="L130" s="58">
        <f t="shared" si="74"/>
        <v>0</v>
      </c>
      <c r="M130" s="58">
        <f t="shared" si="74"/>
        <v>0</v>
      </c>
      <c r="N130" s="58">
        <f t="shared" si="74"/>
        <v>0</v>
      </c>
      <c r="O130" s="58">
        <f t="shared" si="74"/>
        <v>0</v>
      </c>
      <c r="P130" s="28"/>
    </row>
    <row r="131" spans="1:16" s="64" customFormat="1" ht="32.25" customHeight="1">
      <c r="A131" s="72"/>
      <c r="B131" s="72"/>
      <c r="C131" s="163" t="s">
        <v>147</v>
      </c>
      <c r="D131" s="136">
        <v>20000</v>
      </c>
      <c r="E131" s="136">
        <v>0</v>
      </c>
      <c r="F131" s="136">
        <f>SUM(G131:J131)</f>
        <v>0</v>
      </c>
      <c r="G131" s="136">
        <v>0</v>
      </c>
      <c r="H131" s="136">
        <v>0</v>
      </c>
      <c r="I131" s="136">
        <v>0</v>
      </c>
      <c r="J131" s="136">
        <v>0</v>
      </c>
      <c r="K131" s="164">
        <f t="shared" si="30"/>
        <v>0</v>
      </c>
      <c r="L131" s="164">
        <v>0</v>
      </c>
      <c r="M131" s="164">
        <v>0</v>
      </c>
      <c r="N131" s="164">
        <v>0</v>
      </c>
      <c r="O131" s="164">
        <v>0</v>
      </c>
      <c r="P131" s="82" t="s">
        <v>14</v>
      </c>
    </row>
    <row r="132" spans="1:16" s="23" customFormat="1" ht="28.5" customHeight="1">
      <c r="A132" s="141" t="s">
        <v>44</v>
      </c>
      <c r="B132" s="19"/>
      <c r="C132" s="20" t="s">
        <v>123</v>
      </c>
      <c r="D132" s="21">
        <f t="shared" ref="D132:O132" si="75">D133</f>
        <v>83672</v>
      </c>
      <c r="E132" s="21">
        <f t="shared" si="75"/>
        <v>83671</v>
      </c>
      <c r="F132" s="21">
        <f t="shared" si="75"/>
        <v>106671</v>
      </c>
      <c r="G132" s="21">
        <f t="shared" si="75"/>
        <v>69671</v>
      </c>
      <c r="H132" s="21">
        <f t="shared" si="75"/>
        <v>0</v>
      </c>
      <c r="I132" s="21">
        <f t="shared" si="75"/>
        <v>37000</v>
      </c>
      <c r="J132" s="21">
        <f t="shared" si="75"/>
        <v>0</v>
      </c>
      <c r="K132" s="21">
        <f t="shared" si="30"/>
        <v>106671</v>
      </c>
      <c r="L132" s="21">
        <f t="shared" si="75"/>
        <v>98671</v>
      </c>
      <c r="M132" s="21">
        <f t="shared" si="75"/>
        <v>0</v>
      </c>
      <c r="N132" s="21">
        <f t="shared" si="75"/>
        <v>8000</v>
      </c>
      <c r="O132" s="21">
        <f t="shared" si="75"/>
        <v>0</v>
      </c>
      <c r="P132" s="22"/>
    </row>
    <row r="133" spans="1:16" s="29" customFormat="1" ht="15.75" customHeight="1">
      <c r="A133" s="24"/>
      <c r="B133" s="56" t="s">
        <v>45</v>
      </c>
      <c r="C133" s="57" t="s">
        <v>61</v>
      </c>
      <c r="D133" s="58">
        <f t="shared" ref="D133:J133" si="76">SUM(D134:D139)</f>
        <v>83672</v>
      </c>
      <c r="E133" s="58">
        <f t="shared" si="76"/>
        <v>83671</v>
      </c>
      <c r="F133" s="58">
        <f t="shared" si="76"/>
        <v>106671</v>
      </c>
      <c r="G133" s="58">
        <f t="shared" si="76"/>
        <v>69671</v>
      </c>
      <c r="H133" s="58">
        <f t="shared" si="76"/>
        <v>0</v>
      </c>
      <c r="I133" s="58">
        <f t="shared" si="76"/>
        <v>37000</v>
      </c>
      <c r="J133" s="58">
        <f t="shared" si="76"/>
        <v>0</v>
      </c>
      <c r="K133" s="58">
        <f t="shared" si="30"/>
        <v>106671</v>
      </c>
      <c r="L133" s="58">
        <f>SUM(L134:L139)</f>
        <v>98671</v>
      </c>
      <c r="M133" s="58">
        <f>SUM(M134:M139)</f>
        <v>0</v>
      </c>
      <c r="N133" s="58">
        <f>SUM(N134:N139)</f>
        <v>8000</v>
      </c>
      <c r="O133" s="58">
        <f>SUM(O134:O139)</f>
        <v>0</v>
      </c>
      <c r="P133" s="28"/>
    </row>
    <row r="134" spans="1:16" s="64" customFormat="1" ht="63.75">
      <c r="A134" s="30"/>
      <c r="B134" s="83"/>
      <c r="C134" s="171" t="s">
        <v>118</v>
      </c>
      <c r="D134" s="86">
        <v>54211</v>
      </c>
      <c r="E134" s="86">
        <v>54210</v>
      </c>
      <c r="F134" s="86">
        <f t="shared" ref="F134:F139" si="77">SUM(G134:J134)</f>
        <v>0</v>
      </c>
      <c r="G134" s="86">
        <v>0</v>
      </c>
      <c r="H134" s="86">
        <v>0</v>
      </c>
      <c r="I134" s="86">
        <v>0</v>
      </c>
      <c r="J134" s="86">
        <v>0</v>
      </c>
      <c r="K134" s="67">
        <f t="shared" si="30"/>
        <v>0</v>
      </c>
      <c r="L134" s="87">
        <v>0</v>
      </c>
      <c r="M134" s="87">
        <v>0</v>
      </c>
      <c r="N134" s="87">
        <v>0</v>
      </c>
      <c r="O134" s="87">
        <v>0</v>
      </c>
      <c r="P134" s="88" t="s">
        <v>157</v>
      </c>
    </row>
    <row r="135" spans="1:16" s="64" customFormat="1" ht="45" customHeight="1">
      <c r="A135" s="30"/>
      <c r="B135" s="83"/>
      <c r="C135" s="79" t="s">
        <v>118</v>
      </c>
      <c r="D135" s="80">
        <v>1461</v>
      </c>
      <c r="E135" s="80">
        <v>1461</v>
      </c>
      <c r="F135" s="80">
        <f t="shared" si="77"/>
        <v>0</v>
      </c>
      <c r="G135" s="80">
        <v>0</v>
      </c>
      <c r="H135" s="80">
        <v>0</v>
      </c>
      <c r="I135" s="80">
        <v>0</v>
      </c>
      <c r="J135" s="80">
        <v>0</v>
      </c>
      <c r="K135" s="34">
        <f t="shared" si="30"/>
        <v>0</v>
      </c>
      <c r="L135" s="81">
        <v>0</v>
      </c>
      <c r="M135" s="81">
        <v>0</v>
      </c>
      <c r="N135" s="81">
        <v>0</v>
      </c>
      <c r="O135" s="81">
        <v>0</v>
      </c>
      <c r="P135" s="88" t="s">
        <v>181</v>
      </c>
    </row>
    <row r="136" spans="1:16" ht="39.75" customHeight="1">
      <c r="A136" s="172"/>
      <c r="B136" s="172"/>
      <c r="C136" s="32" t="s">
        <v>118</v>
      </c>
      <c r="D136" s="33">
        <v>28000</v>
      </c>
      <c r="E136" s="33">
        <v>28000</v>
      </c>
      <c r="F136" s="33">
        <f t="shared" si="77"/>
        <v>0</v>
      </c>
      <c r="G136" s="33">
        <v>0</v>
      </c>
      <c r="H136" s="33">
        <v>0</v>
      </c>
      <c r="I136" s="33">
        <v>0</v>
      </c>
      <c r="J136" s="33">
        <v>0</v>
      </c>
      <c r="K136" s="34">
        <f t="shared" si="30"/>
        <v>0</v>
      </c>
      <c r="L136" s="34">
        <v>0</v>
      </c>
      <c r="M136" s="34">
        <v>0</v>
      </c>
      <c r="N136" s="34">
        <v>0</v>
      </c>
      <c r="O136" s="34">
        <v>0</v>
      </c>
      <c r="P136" s="35" t="s">
        <v>78</v>
      </c>
    </row>
    <row r="137" spans="1:16" ht="28.5" customHeight="1">
      <c r="A137" s="83"/>
      <c r="B137" s="83"/>
      <c r="C137" s="173" t="s">
        <v>174</v>
      </c>
      <c r="D137" s="86">
        <v>0</v>
      </c>
      <c r="E137" s="86">
        <v>0</v>
      </c>
      <c r="F137" s="86">
        <f t="shared" si="77"/>
        <v>10000</v>
      </c>
      <c r="G137" s="86">
        <v>2000</v>
      </c>
      <c r="H137" s="86">
        <v>0</v>
      </c>
      <c r="I137" s="86">
        <v>8000</v>
      </c>
      <c r="J137" s="86">
        <v>0</v>
      </c>
      <c r="K137" s="87">
        <f t="shared" si="30"/>
        <v>10000</v>
      </c>
      <c r="L137" s="87">
        <v>2000</v>
      </c>
      <c r="M137" s="87">
        <v>0</v>
      </c>
      <c r="N137" s="87">
        <v>8000</v>
      </c>
      <c r="O137" s="174">
        <v>0</v>
      </c>
      <c r="P137" s="46"/>
    </row>
    <row r="138" spans="1:16" ht="27.75" customHeight="1">
      <c r="A138" s="83"/>
      <c r="B138" s="83"/>
      <c r="C138" s="48" t="s">
        <v>111</v>
      </c>
      <c r="D138" s="41">
        <v>0</v>
      </c>
      <c r="E138" s="41">
        <v>0</v>
      </c>
      <c r="F138" s="41">
        <f t="shared" si="77"/>
        <v>39681</v>
      </c>
      <c r="G138" s="41">
        <v>39681</v>
      </c>
      <c r="H138" s="41">
        <v>0</v>
      </c>
      <c r="I138" s="41">
        <v>0</v>
      </c>
      <c r="J138" s="41">
        <v>0</v>
      </c>
      <c r="K138" s="67">
        <f t="shared" si="30"/>
        <v>39681</v>
      </c>
      <c r="L138" s="42">
        <v>39681</v>
      </c>
      <c r="M138" s="42">
        <v>0</v>
      </c>
      <c r="N138" s="42">
        <v>0</v>
      </c>
      <c r="O138" s="42">
        <v>0</v>
      </c>
      <c r="P138" s="39" t="s">
        <v>179</v>
      </c>
    </row>
    <row r="139" spans="1:16" ht="26.25" customHeight="1">
      <c r="A139" s="83"/>
      <c r="B139" s="83"/>
      <c r="C139" s="175" t="s">
        <v>175</v>
      </c>
      <c r="D139" s="51">
        <v>0</v>
      </c>
      <c r="E139" s="51">
        <v>0</v>
      </c>
      <c r="F139" s="51">
        <f t="shared" si="77"/>
        <v>56990</v>
      </c>
      <c r="G139" s="51">
        <v>27990</v>
      </c>
      <c r="H139" s="51">
        <v>0</v>
      </c>
      <c r="I139" s="51">
        <v>29000</v>
      </c>
      <c r="J139" s="51">
        <v>0</v>
      </c>
      <c r="K139" s="68">
        <f t="shared" si="30"/>
        <v>56990</v>
      </c>
      <c r="L139" s="68">
        <v>56990</v>
      </c>
      <c r="M139" s="68">
        <v>0</v>
      </c>
      <c r="N139" s="68">
        <v>0</v>
      </c>
      <c r="O139" s="68">
        <v>0</v>
      </c>
      <c r="P139" s="46"/>
    </row>
    <row r="140" spans="1:16" s="181" customFormat="1" ht="18" customHeight="1">
      <c r="A140" s="176" t="s">
        <v>76</v>
      </c>
      <c r="B140" s="177"/>
      <c r="C140" s="178"/>
      <c r="D140" s="179">
        <f t="shared" ref="D140:J140" si="78">SUM(D16+D41+D44+D89+D92+D96+D101+D116+D127+D132+D112)</f>
        <v>485993328</v>
      </c>
      <c r="E140" s="179">
        <f t="shared" si="78"/>
        <v>460772944</v>
      </c>
      <c r="F140" s="179">
        <f t="shared" si="78"/>
        <v>14434446</v>
      </c>
      <c r="G140" s="179">
        <f t="shared" si="78"/>
        <v>12778834</v>
      </c>
      <c r="H140" s="179">
        <f t="shared" si="78"/>
        <v>1104000</v>
      </c>
      <c r="I140" s="179">
        <f t="shared" si="78"/>
        <v>551612</v>
      </c>
      <c r="J140" s="179">
        <f t="shared" si="78"/>
        <v>0</v>
      </c>
      <c r="K140" s="179">
        <f>SUM(K16+K41+K44+K89+K92+K96+K6+K101+K116+K127+K132+K112)</f>
        <v>14006313</v>
      </c>
      <c r="L140" s="179">
        <f>SUM(L16+L41+L44+L89+L92+L96+L101+L116+L127+L132+L112)</f>
        <v>12436076</v>
      </c>
      <c r="M140" s="179">
        <f>SUM(M16+M41+M44+M89+M92+M96+M101+M116+M127+M132+M112)</f>
        <v>1104000</v>
      </c>
      <c r="N140" s="179">
        <f>SUM(N16+N41+N44+N89+N92+N96+N101+N116+N127+N132+N112)</f>
        <v>466237</v>
      </c>
      <c r="O140" s="179">
        <f>SUM(O16+O41+O44+O89+O92+O96+O101+O116+O127+O132+O112)</f>
        <v>0</v>
      </c>
      <c r="P140" s="180"/>
    </row>
    <row r="141" spans="1:16">
      <c r="D141" s="182"/>
      <c r="E141" s="182"/>
    </row>
    <row r="142" spans="1:16">
      <c r="C142" s="183"/>
      <c r="D142" s="182"/>
      <c r="E142" s="182"/>
      <c r="F142" s="184"/>
      <c r="G142" s="184"/>
      <c r="H142" s="184"/>
      <c r="I142" s="184"/>
      <c r="J142" s="184"/>
      <c r="K142" s="185"/>
      <c r="L142" s="185"/>
      <c r="M142" s="185"/>
      <c r="N142" s="185"/>
      <c r="O142" s="185"/>
    </row>
    <row r="143" spans="1:16">
      <c r="C143" s="183"/>
      <c r="D143" s="182"/>
      <c r="E143" s="182"/>
    </row>
    <row r="144" spans="1:16">
      <c r="D144" s="186"/>
      <c r="E144" s="186"/>
    </row>
    <row r="145" spans="3:15">
      <c r="C145" s="183"/>
      <c r="D145" s="187"/>
      <c r="E145" s="187"/>
      <c r="F145" s="184"/>
      <c r="H145" s="184"/>
      <c r="K145" s="185"/>
      <c r="M145" s="185"/>
    </row>
    <row r="146" spans="3:15">
      <c r="C146" s="183"/>
      <c r="D146" s="187"/>
      <c r="E146" s="187"/>
      <c r="F146" s="184"/>
      <c r="H146" s="184"/>
      <c r="K146" s="185"/>
      <c r="M146" s="185"/>
    </row>
    <row r="147" spans="3:15">
      <c r="D147" s="188"/>
      <c r="E147" s="188"/>
      <c r="F147" s="189"/>
      <c r="K147" s="190"/>
    </row>
    <row r="149" spans="3:15">
      <c r="C149" s="191"/>
      <c r="D149" s="187"/>
      <c r="E149" s="187"/>
      <c r="F149" s="187"/>
      <c r="G149" s="187"/>
      <c r="H149" s="187"/>
      <c r="I149" s="187"/>
      <c r="J149" s="187"/>
      <c r="K149" s="192"/>
      <c r="L149" s="192"/>
      <c r="M149" s="192"/>
      <c r="N149" s="192"/>
      <c r="O149" s="192"/>
    </row>
    <row r="150" spans="3:15">
      <c r="C150" s="191"/>
      <c r="D150" s="187"/>
      <c r="E150" s="187"/>
    </row>
    <row r="151" spans="3:15">
      <c r="C151" s="191"/>
      <c r="D151" s="187"/>
      <c r="E151" s="187"/>
    </row>
  </sheetData>
  <mergeCells count="28">
    <mergeCell ref="A140:C140"/>
    <mergeCell ref="P28:P33"/>
    <mergeCell ref="P87:P88"/>
    <mergeCell ref="P138:P139"/>
    <mergeCell ref="P94:P95"/>
    <mergeCell ref="P118:P119"/>
    <mergeCell ref="P81:P83"/>
    <mergeCell ref="P34:P36"/>
    <mergeCell ref="P46:P47"/>
    <mergeCell ref="P105:P109"/>
    <mergeCell ref="P136:P137"/>
    <mergeCell ref="P49:P67"/>
    <mergeCell ref="P69:P79"/>
    <mergeCell ref="P22:P25"/>
    <mergeCell ref="P18:P21"/>
    <mergeCell ref="A9:P9"/>
    <mergeCell ref="C12:C14"/>
    <mergeCell ref="D12:D14"/>
    <mergeCell ref="F12:J12"/>
    <mergeCell ref="G13:J13"/>
    <mergeCell ref="F13:F14"/>
    <mergeCell ref="A12:A14"/>
    <mergeCell ref="B12:B14"/>
    <mergeCell ref="P12:P14"/>
    <mergeCell ref="E12:E14"/>
    <mergeCell ref="K12:O12"/>
    <mergeCell ref="K13:K14"/>
    <mergeCell ref="L13:O13"/>
  </mergeCells>
  <phoneticPr fontId="1" type="noConversion"/>
  <printOptions horizontalCentered="1"/>
  <pageMargins left="0.70866141732283472" right="0.70866141732283472" top="0.98425196850393704" bottom="0.70866141732283472" header="0.19685039370078741" footer="0.19685039370078741"/>
  <pageSetup paperSize="9" scale="58" orientation="landscape" r:id="rId1"/>
  <headerFooter alignWithMargins="0">
    <oddFooter>Strona &amp;P z &amp;N</oddFooter>
  </headerFooter>
  <rowBreaks count="3" manualBreakCount="3">
    <brk id="38" max="15" man="1"/>
    <brk id="95" max="15" man="1"/>
    <brk id="124" max="1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inwestycje</vt:lpstr>
      <vt:lpstr>inwestycje!Obszar_wydruku</vt:lpstr>
      <vt:lpstr>inwestycje!Tytuły_wydruku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2014-03-21T12:50:48Z</cp:lastPrinted>
  <dcterms:created xsi:type="dcterms:W3CDTF">2010-11-24T14:24:05Z</dcterms:created>
  <dcterms:modified xsi:type="dcterms:W3CDTF">2014-04-08T12:53:16Z</dcterms:modified>
</cp:coreProperties>
</file>